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_Working Files\John Duff\LCFS\Sustainability Research Survey Information\Final Report\"/>
    </mc:Choice>
  </mc:AlternateContent>
  <xr:revisionPtr revIDLastSave="0" documentId="13_ncr:1_{EE9728D7-530F-4E8F-9736-B327FBE3F45D}" xr6:coauthVersionLast="45" xr6:coauthVersionMax="45" xr10:uidLastSave="{00000000-0000-0000-0000-000000000000}"/>
  <bookViews>
    <workbookView xWindow="-120" yWindow="-120" windowWidth="29040" windowHeight="15840" tabRatio="433" firstSheet="3" activeTab="3" xr2:uid="{00000000-000D-0000-FFFF-FFFF00000000}"/>
  </bookViews>
  <sheets>
    <sheet name="Scope &amp;Bounderies" sheetId="5" state="hidden" r:id="rId1"/>
    <sheet name="data quality scoring" sheetId="6" state="hidden" r:id="rId2"/>
    <sheet name="Calculations old" sheetId="1" state="hidden" r:id="rId3"/>
    <sheet name="SMRP" sheetId="21" r:id="rId4"/>
  </sheets>
  <calcPr calcId="191029" iterate="1"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21" l="1"/>
  <c r="D31" i="21" l="1"/>
  <c r="D27" i="21" l="1"/>
  <c r="D22" i="21"/>
  <c r="D23" i="21"/>
  <c r="C5" i="21"/>
  <c r="C4" i="21"/>
  <c r="D12" i="21" l="1"/>
  <c r="G12" i="21"/>
  <c r="D13" i="21"/>
  <c r="D14" i="21"/>
  <c r="O19" i="21"/>
  <c r="O20" i="21"/>
  <c r="O22" i="21"/>
  <c r="C20" i="21" l="1"/>
  <c r="C21" i="21"/>
  <c r="I29" i="21"/>
  <c r="K25" i="21"/>
  <c r="C46" i="21" l="1"/>
  <c r="F46" i="21" s="1"/>
  <c r="F12" i="21"/>
  <c r="C12" i="21"/>
  <c r="G14" i="21" l="1"/>
  <c r="F14" i="21"/>
  <c r="C14" i="21"/>
  <c r="G13" i="21"/>
  <c r="F13" i="21"/>
  <c r="C13" i="21"/>
  <c r="E12" i="21"/>
  <c r="D5" i="21"/>
  <c r="D4" i="21"/>
  <c r="C27" i="21"/>
  <c r="I31" i="21"/>
  <c r="I30" i="21"/>
  <c r="K26" i="21"/>
  <c r="G29" i="21" s="1"/>
  <c r="J29" i="21" s="1"/>
  <c r="K21" i="21"/>
  <c r="C38" i="21" s="1"/>
  <c r="K20" i="21"/>
  <c r="K19" i="21"/>
  <c r="K18" i="21"/>
  <c r="D21" i="21" l="1"/>
  <c r="C22" i="21"/>
  <c r="H13" i="21"/>
  <c r="C26" i="21"/>
  <c r="C28" i="21"/>
  <c r="C49" i="21"/>
  <c r="F49" i="21" s="1"/>
  <c r="C48" i="21"/>
  <c r="F48" i="21" s="1"/>
  <c r="C47" i="21"/>
  <c r="F47" i="21" s="1"/>
  <c r="E38" i="21"/>
  <c r="D20" i="21"/>
  <c r="H14" i="21"/>
  <c r="H12" i="21"/>
  <c r="E14" i="21"/>
  <c r="E13" i="21"/>
  <c r="D28" i="21" l="1"/>
  <c r="D26" i="21"/>
  <c r="F50" i="21"/>
  <c r="D55" i="21" s="1"/>
  <c r="G30" i="21"/>
  <c r="J30" i="21" s="1"/>
  <c r="G31" i="21"/>
  <c r="C6" i="21"/>
  <c r="C31" i="21" s="1"/>
  <c r="E5" i="21"/>
  <c r="E4" i="21"/>
  <c r="D29" i="21" l="1"/>
  <c r="D33" i="21" s="1"/>
  <c r="J31" i="21"/>
  <c r="D56" i="21"/>
  <c r="E56" i="21" s="1"/>
  <c r="F56" i="21" s="1"/>
  <c r="E55" i="21"/>
  <c r="F55" i="21" s="1"/>
  <c r="F4" i="21"/>
  <c r="K29" i="21" s="1"/>
  <c r="F5" i="21"/>
  <c r="E6" i="21"/>
  <c r="C37" i="21" l="1"/>
  <c r="E37" i="21" s="1"/>
  <c r="K30" i="21"/>
  <c r="C40" i="21" s="1"/>
  <c r="E40" i="21" s="1"/>
  <c r="K31" i="21"/>
  <c r="C39" i="21" s="1"/>
  <c r="E39" i="21" s="1"/>
  <c r="F57" i="21"/>
  <c r="I13" i="21"/>
  <c r="I14" i="21"/>
  <c r="I12" i="21"/>
  <c r="F6" i="21"/>
  <c r="D6" i="21"/>
  <c r="E41" i="21" l="1"/>
  <c r="E42" i="21" s="1"/>
  <c r="K13" i="21"/>
  <c r="L13" i="21" s="1"/>
  <c r="K12" i="21"/>
  <c r="L12" i="21" s="1"/>
  <c r="K14" i="21"/>
  <c r="L14" i="21" s="1"/>
  <c r="F40" i="21" l="1"/>
  <c r="F38" i="21"/>
  <c r="F39" i="21"/>
  <c r="F37" i="21"/>
  <c r="I58" i="1"/>
  <c r="I57" i="1"/>
  <c r="H57" i="1"/>
  <c r="I56" i="1"/>
  <c r="H56" i="1"/>
  <c r="E63" i="1"/>
  <c r="J63" i="1" s="1"/>
  <c r="F148" i="1"/>
  <c r="E148" i="1"/>
  <c r="E147" i="1"/>
  <c r="K174" i="1"/>
  <c r="K176" i="1" s="1"/>
  <c r="F70" i="1"/>
  <c r="F146" i="1"/>
  <c r="F145" i="1"/>
  <c r="E146" i="1"/>
  <c r="E145" i="1"/>
  <c r="E144" i="1"/>
  <c r="F144" i="1"/>
  <c r="G131" i="1"/>
  <c r="F131" i="1"/>
  <c r="G129" i="1"/>
  <c r="G128" i="1"/>
  <c r="G127" i="1"/>
  <c r="F127" i="1"/>
  <c r="G126" i="1"/>
  <c r="H123" i="1"/>
  <c r="H122" i="1"/>
  <c r="H121" i="1"/>
  <c r="H120" i="1"/>
  <c r="H119" i="1"/>
  <c r="H118" i="1"/>
  <c r="H117" i="1"/>
  <c r="H116" i="1"/>
  <c r="F116" i="1"/>
  <c r="I116" i="1" s="1"/>
  <c r="I123" i="1" s="1"/>
  <c r="H115" i="1"/>
  <c r="F109" i="1"/>
  <c r="G108" i="1"/>
  <c r="F97" i="1"/>
  <c r="G96" i="1"/>
  <c r="G69" i="1"/>
  <c r="F65" i="1"/>
  <c r="F64" i="1"/>
  <c r="F63" i="1"/>
  <c r="F62" i="1"/>
  <c r="E62" i="1"/>
  <c r="J62" i="1" s="1"/>
  <c r="F61" i="1"/>
  <c r="E61" i="1"/>
  <c r="J61" i="1" s="1"/>
  <c r="G109" i="1" l="1"/>
  <c r="J109" i="1" s="1"/>
  <c r="E64" i="1"/>
  <c r="J64" i="1" s="1"/>
  <c r="J123" i="1"/>
  <c r="H58" i="1"/>
  <c r="J145" i="1"/>
  <c r="E65" i="1"/>
  <c r="J65" i="1" s="1"/>
  <c r="J148" i="1"/>
  <c r="J146" i="1"/>
  <c r="J116" i="1"/>
  <c r="F123" i="1"/>
  <c r="J127" i="1"/>
  <c r="J131" i="1"/>
  <c r="E17" i="1"/>
  <c r="E18" i="1"/>
  <c r="F18" i="1" s="1"/>
  <c r="G97" i="1" l="1"/>
  <c r="J97" i="1" s="1"/>
  <c r="G70" i="1"/>
  <c r="G71" i="1" l="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J70" i="1"/>
</calcChain>
</file>

<file path=xl/sharedStrings.xml><?xml version="1.0" encoding="utf-8"?>
<sst xmlns="http://schemas.openxmlformats.org/spreadsheetml/2006/main" count="399" uniqueCount="290">
  <si>
    <t xml:space="preserve">B : Storage of seed </t>
  </si>
  <si>
    <t>C : Crop Growing</t>
  </si>
  <si>
    <t>D : Storage of crop</t>
  </si>
  <si>
    <t>E : Transport</t>
  </si>
  <si>
    <t>F : Waste management</t>
  </si>
  <si>
    <t>EF</t>
  </si>
  <si>
    <t>Remarks</t>
  </si>
  <si>
    <t>kg CO2-eq / year</t>
  </si>
  <si>
    <t>general: transfer all to american units</t>
  </si>
  <si>
    <t>?</t>
  </si>
  <si>
    <t>Unit</t>
  </si>
  <si>
    <t>General: calculations based on total of all returned questionnaires or 1 calculation per horticulterist?</t>
  </si>
  <si>
    <t>EF known for sorghum seed production?</t>
  </si>
  <si>
    <t>General information</t>
  </si>
  <si>
    <t>year</t>
  </si>
  <si>
    <t>Name Sorghum grower</t>
  </si>
  <si>
    <t>Location</t>
  </si>
  <si>
    <t>check land use change</t>
  </si>
  <si>
    <t>(cooling, heating and light)</t>
  </si>
  <si>
    <t>Sorghum</t>
  </si>
  <si>
    <t>Corn</t>
  </si>
  <si>
    <t>Wheat</t>
  </si>
  <si>
    <t>Rice</t>
  </si>
  <si>
    <t>Soybeans</t>
  </si>
  <si>
    <t>Fallow</t>
  </si>
  <si>
    <t>Other</t>
  </si>
  <si>
    <t>Total</t>
  </si>
  <si>
    <t>Acres of</t>
  </si>
  <si>
    <t>unit</t>
  </si>
  <si>
    <t>sorghum seed</t>
  </si>
  <si>
    <t>use of</t>
  </si>
  <si>
    <t>Electricity</t>
  </si>
  <si>
    <t>Diesel</t>
  </si>
  <si>
    <t>Gasoline</t>
  </si>
  <si>
    <t>related to the growing of Sorghum</t>
  </si>
  <si>
    <t>kWh</t>
  </si>
  <si>
    <t>m03</t>
  </si>
  <si>
    <t>Herbicides</t>
  </si>
  <si>
    <t>kg</t>
  </si>
  <si>
    <r>
      <t>a)</t>
    </r>
    <r>
      <rPr>
        <sz val="7"/>
        <color rgb="FF000000"/>
        <rFont val="Times New Roman"/>
        <family val="1"/>
      </rPr>
      <t xml:space="preserve">      </t>
    </r>
    <r>
      <rPr>
        <sz val="11"/>
        <color rgb="FF000000"/>
        <rFont val="Calibri"/>
        <family val="2"/>
        <scheme val="minor"/>
      </rPr>
      <t>Bicep II Magnum</t>
    </r>
  </si>
  <si>
    <r>
      <t>b)</t>
    </r>
    <r>
      <rPr>
        <sz val="7"/>
        <color rgb="FF000000"/>
        <rFont val="Times New Roman"/>
        <family val="1"/>
      </rPr>
      <t xml:space="preserve">      </t>
    </r>
    <r>
      <rPr>
        <sz val="11"/>
        <color rgb="FF000000"/>
        <rFont val="Calibri"/>
        <family val="2"/>
        <scheme val="minor"/>
      </rPr>
      <t>Corvus</t>
    </r>
  </si>
  <si>
    <r>
      <t>c)</t>
    </r>
    <r>
      <rPr>
        <sz val="7"/>
        <color rgb="FF000000"/>
        <rFont val="Times New Roman"/>
        <family val="1"/>
      </rPr>
      <t xml:space="preserve">       </t>
    </r>
    <r>
      <rPr>
        <sz val="11"/>
        <color rgb="FF000000"/>
        <rFont val="Calibri"/>
        <family val="2"/>
        <scheme val="minor"/>
      </rPr>
      <t>Degree Xtra</t>
    </r>
  </si>
  <si>
    <r>
      <t>d)</t>
    </r>
    <r>
      <rPr>
        <sz val="7"/>
        <color rgb="FF000000"/>
        <rFont val="Times New Roman"/>
        <family val="1"/>
      </rPr>
      <t xml:space="preserve">      </t>
    </r>
    <r>
      <rPr>
        <sz val="11"/>
        <color rgb="FF000000"/>
        <rFont val="Calibri"/>
        <family val="2"/>
        <scheme val="minor"/>
      </rPr>
      <t>Durango</t>
    </r>
  </si>
  <si>
    <r>
      <t>e)</t>
    </r>
    <r>
      <rPr>
        <sz val="7"/>
        <color rgb="FF000000"/>
        <rFont val="Times New Roman"/>
        <family val="1"/>
      </rPr>
      <t xml:space="preserve">      </t>
    </r>
    <r>
      <rPr>
        <sz val="11"/>
        <color rgb="FF000000"/>
        <rFont val="Calibri"/>
        <family val="2"/>
        <scheme val="minor"/>
      </rPr>
      <t>Guardsman</t>
    </r>
  </si>
  <si>
    <r>
      <t>f)</t>
    </r>
    <r>
      <rPr>
        <sz val="7"/>
        <color rgb="FF000000"/>
        <rFont val="Times New Roman"/>
        <family val="1"/>
      </rPr>
      <t xml:space="preserve">       </t>
    </r>
    <r>
      <rPr>
        <sz val="11"/>
        <color rgb="FF000000"/>
        <rFont val="Calibri"/>
        <family val="2"/>
        <scheme val="minor"/>
      </rPr>
      <t>Harness</t>
    </r>
  </si>
  <si>
    <r>
      <t>g)</t>
    </r>
    <r>
      <rPr>
        <sz val="7"/>
        <color rgb="FF000000"/>
        <rFont val="Times New Roman"/>
        <family val="1"/>
      </rPr>
      <t xml:space="preserve">      </t>
    </r>
    <r>
      <rPr>
        <sz val="11"/>
        <color rgb="FF000000"/>
        <rFont val="Calibri"/>
        <family val="2"/>
        <scheme val="minor"/>
      </rPr>
      <t>Harness Xtra</t>
    </r>
  </si>
  <si>
    <r>
      <t>h)</t>
    </r>
    <r>
      <rPr>
        <sz val="7"/>
        <color rgb="FF000000"/>
        <rFont val="Times New Roman"/>
        <family val="1"/>
      </rPr>
      <t xml:space="preserve">      </t>
    </r>
    <r>
      <rPr>
        <sz val="11"/>
        <color rgb="FF000000"/>
        <rFont val="Calibri"/>
        <family val="2"/>
        <scheme val="minor"/>
      </rPr>
      <t>Integrity</t>
    </r>
  </si>
  <si>
    <r>
      <t>i)</t>
    </r>
    <r>
      <rPr>
        <sz val="7"/>
        <color rgb="FF000000"/>
        <rFont val="Times New Roman"/>
        <family val="1"/>
      </rPr>
      <t xml:space="preserve">        </t>
    </r>
    <r>
      <rPr>
        <sz val="11"/>
        <color rgb="FF000000"/>
        <rFont val="Calibri"/>
        <family val="2"/>
        <scheme val="minor"/>
      </rPr>
      <t>Keystone</t>
    </r>
  </si>
  <si>
    <r>
      <t>j)</t>
    </r>
    <r>
      <rPr>
        <sz val="7"/>
        <color rgb="FF000000"/>
        <rFont val="Times New Roman"/>
        <family val="1"/>
      </rPr>
      <t xml:space="preserve">        </t>
    </r>
    <r>
      <rPr>
        <sz val="11"/>
        <color rgb="FF000000"/>
        <rFont val="Calibri"/>
        <family val="2"/>
        <scheme val="minor"/>
      </rPr>
      <t>Lexar</t>
    </r>
  </si>
  <si>
    <r>
      <t>k)</t>
    </r>
    <r>
      <rPr>
        <sz val="7"/>
        <color rgb="FF000000"/>
        <rFont val="Times New Roman"/>
        <family val="1"/>
      </rPr>
      <t xml:space="preserve">      </t>
    </r>
    <r>
      <rPr>
        <sz val="11"/>
        <color rgb="FF000000"/>
        <rFont val="Calibri"/>
        <family val="2"/>
        <scheme val="minor"/>
      </rPr>
      <t>Lumax</t>
    </r>
  </si>
  <si>
    <r>
      <t>l)</t>
    </r>
    <r>
      <rPr>
        <sz val="7"/>
        <color rgb="FF000000"/>
        <rFont val="Times New Roman"/>
        <family val="1"/>
      </rPr>
      <t xml:space="preserve">        </t>
    </r>
    <r>
      <rPr>
        <sz val="11"/>
        <color rgb="FF000000"/>
        <rFont val="Calibri"/>
        <family val="2"/>
        <scheme val="minor"/>
      </rPr>
      <t>Sharpen</t>
    </r>
  </si>
  <si>
    <r>
      <t>m)</t>
    </r>
    <r>
      <rPr>
        <sz val="7"/>
        <color rgb="FF000000"/>
        <rFont val="Times New Roman"/>
        <family val="1"/>
      </rPr>
      <t xml:space="preserve">    </t>
    </r>
    <r>
      <rPr>
        <sz val="11"/>
        <color rgb="FF000000"/>
        <rFont val="Calibri"/>
        <family val="2"/>
        <scheme val="minor"/>
      </rPr>
      <t>Surestart</t>
    </r>
  </si>
  <si>
    <r>
      <t>n)</t>
    </r>
    <r>
      <rPr>
        <sz val="7"/>
        <color rgb="FF000000"/>
        <rFont val="Times New Roman"/>
        <family val="1"/>
      </rPr>
      <t xml:space="preserve">      </t>
    </r>
    <r>
      <rPr>
        <sz val="11"/>
        <color rgb="FF000000"/>
        <rFont val="Calibri"/>
        <family val="2"/>
        <scheme val="minor"/>
      </rPr>
      <t xml:space="preserve">Verdict </t>
    </r>
  </si>
  <si>
    <r>
      <t>o)</t>
    </r>
    <r>
      <rPr>
        <sz val="7"/>
        <color rgb="FF000000"/>
        <rFont val="Times New Roman"/>
        <family val="1"/>
      </rPr>
      <t xml:space="preserve">      </t>
    </r>
    <r>
      <rPr>
        <sz val="11"/>
        <color rgb="FF000000"/>
        <rFont val="Calibri"/>
        <family val="2"/>
        <scheme val="minor"/>
      </rPr>
      <t>Bycep2 / magnum light</t>
    </r>
  </si>
  <si>
    <r>
      <t>p)</t>
    </r>
    <r>
      <rPr>
        <sz val="7"/>
        <color rgb="FF000000"/>
        <rFont val="Times New Roman"/>
        <family val="1"/>
      </rPr>
      <t xml:space="preserve">      </t>
    </r>
    <r>
      <rPr>
        <sz val="11"/>
        <color rgb="FF000000"/>
        <rFont val="Calibri"/>
        <family val="2"/>
        <scheme val="minor"/>
      </rPr>
      <t>Cinche ATZ</t>
    </r>
  </si>
  <si>
    <r>
      <t>q)</t>
    </r>
    <r>
      <rPr>
        <sz val="7"/>
        <color rgb="FF000000"/>
        <rFont val="Times New Roman"/>
        <family val="1"/>
      </rPr>
      <t xml:space="preserve">      </t>
    </r>
    <r>
      <rPr>
        <sz val="11"/>
        <color rgb="FF000000"/>
        <rFont val="Calibri"/>
        <family val="2"/>
        <scheme val="minor"/>
      </rPr>
      <t>Cinche ATZ light</t>
    </r>
  </si>
  <si>
    <r>
      <t>r)</t>
    </r>
    <r>
      <rPr>
        <sz val="7"/>
        <color rgb="FF000000"/>
        <rFont val="Times New Roman"/>
        <family val="1"/>
      </rPr>
      <t xml:space="preserve">       </t>
    </r>
    <r>
      <rPr>
        <sz val="11"/>
        <color rgb="FF000000"/>
        <rFont val="Calibri"/>
        <family val="2"/>
        <scheme val="minor"/>
      </rPr>
      <t>Guardsmen light</t>
    </r>
  </si>
  <si>
    <r>
      <t>s)</t>
    </r>
    <r>
      <rPr>
        <sz val="7"/>
        <color rgb="FF000000"/>
        <rFont val="Times New Roman"/>
        <family val="1"/>
      </rPr>
      <t xml:space="preserve">       </t>
    </r>
    <r>
      <rPr>
        <sz val="11"/>
        <color rgb="FF000000"/>
        <rFont val="Calibri"/>
        <family val="2"/>
        <scheme val="minor"/>
      </rPr>
      <t>Generic Banvil</t>
    </r>
  </si>
  <si>
    <r>
      <t>t)</t>
    </r>
    <r>
      <rPr>
        <sz val="7"/>
        <color rgb="FF000000"/>
        <rFont val="Times New Roman"/>
        <family val="1"/>
      </rPr>
      <t xml:space="preserve">       </t>
    </r>
    <r>
      <rPr>
        <sz val="11"/>
        <color rgb="FF000000"/>
        <rFont val="Calibri"/>
        <family val="2"/>
        <scheme val="minor"/>
      </rPr>
      <t>Generic 24D</t>
    </r>
  </si>
  <si>
    <r>
      <t>u)</t>
    </r>
    <r>
      <rPr>
        <sz val="7"/>
        <color rgb="FF000000"/>
        <rFont val="Times New Roman"/>
        <family val="1"/>
      </rPr>
      <t xml:space="preserve">      </t>
    </r>
    <r>
      <rPr>
        <sz val="11"/>
        <color rgb="FF000000"/>
        <rFont val="Calibri"/>
        <family val="2"/>
        <scheme val="minor"/>
      </rPr>
      <t>Generic Ally</t>
    </r>
    <r>
      <rPr>
        <sz val="8"/>
        <color theme="1"/>
        <rFont val="Calibri"/>
        <family val="2"/>
        <scheme val="minor"/>
      </rPr>
      <t> </t>
    </r>
  </si>
  <si>
    <r>
      <t>v)</t>
    </r>
    <r>
      <rPr>
        <sz val="7"/>
        <color rgb="FF000000"/>
        <rFont val="Times New Roman"/>
        <family val="1"/>
      </rPr>
      <t xml:space="preserve">      </t>
    </r>
    <r>
      <rPr>
        <sz val="11"/>
        <color rgb="FF000000"/>
        <rFont val="Calibri"/>
        <family val="2"/>
        <scheme val="minor"/>
      </rPr>
      <t>Generic Glyphosate</t>
    </r>
  </si>
  <si>
    <r>
      <t>w)</t>
    </r>
    <r>
      <rPr>
        <sz val="7"/>
        <color rgb="FF000000"/>
        <rFont val="Times New Roman"/>
        <family val="1"/>
      </rPr>
      <t xml:space="preserve">    </t>
    </r>
    <r>
      <rPr>
        <sz val="11"/>
        <color rgb="FF000000"/>
        <rFont val="Calibri"/>
        <family val="2"/>
        <scheme val="minor"/>
      </rPr>
      <t>Husky</t>
    </r>
  </si>
  <si>
    <r>
      <t>x)</t>
    </r>
    <r>
      <rPr>
        <sz val="7"/>
        <color rgb="FF000000"/>
        <rFont val="Times New Roman"/>
        <family val="1"/>
      </rPr>
      <t xml:space="preserve">      </t>
    </r>
    <r>
      <rPr>
        <sz val="11"/>
        <color rgb="FF000000"/>
        <rFont val="Calibri"/>
        <family val="2"/>
        <scheme val="minor"/>
      </rPr>
      <t> Other</t>
    </r>
  </si>
  <si>
    <t>rate (kg/acre)</t>
  </si>
  <si>
    <t>acres treated</t>
  </si>
  <si>
    <t># of applications</t>
  </si>
  <si>
    <t>Insecticides</t>
  </si>
  <si>
    <r>
      <t>a)</t>
    </r>
    <r>
      <rPr>
        <sz val="7"/>
        <color rgb="FF000000"/>
        <rFont val="Times New Roman"/>
        <family val="1"/>
      </rPr>
      <t xml:space="preserve">      </t>
    </r>
    <r>
      <rPr>
        <sz val="11"/>
        <color rgb="FF000000"/>
        <rFont val="Calibri"/>
        <family val="2"/>
        <scheme val="minor"/>
      </rPr>
      <t>Lorsban</t>
    </r>
  </si>
  <si>
    <r>
      <t>b)</t>
    </r>
    <r>
      <rPr>
        <sz val="7"/>
        <color rgb="FF000000"/>
        <rFont val="Times New Roman"/>
        <family val="1"/>
      </rPr>
      <t xml:space="preserve">      </t>
    </r>
    <r>
      <rPr>
        <sz val="11"/>
        <color rgb="FF000000"/>
        <rFont val="Calibri"/>
        <family val="2"/>
        <scheme val="minor"/>
      </rPr>
      <t>Counter</t>
    </r>
  </si>
  <si>
    <r>
      <t>c)</t>
    </r>
    <r>
      <rPr>
        <sz val="7"/>
        <color rgb="FF000000"/>
        <rFont val="Times New Roman"/>
        <family val="1"/>
      </rPr>
      <t xml:space="preserve">       </t>
    </r>
    <r>
      <rPr>
        <sz val="11"/>
        <color rgb="FF000000"/>
        <rFont val="Calibri"/>
        <family val="2"/>
        <scheme val="minor"/>
      </rPr>
      <t>Cygon</t>
    </r>
  </si>
  <si>
    <r>
      <t>d)</t>
    </r>
    <r>
      <rPr>
        <sz val="7"/>
        <color rgb="FF000000"/>
        <rFont val="Times New Roman"/>
        <family val="1"/>
      </rPr>
      <t xml:space="preserve">      </t>
    </r>
    <r>
      <rPr>
        <sz val="11"/>
        <color rgb="FF000000"/>
        <rFont val="Calibri"/>
        <family val="2"/>
        <scheme val="minor"/>
      </rPr>
      <t>Furadan</t>
    </r>
  </si>
  <si>
    <r>
      <t>e)</t>
    </r>
    <r>
      <rPr>
        <sz val="7"/>
        <color rgb="FF000000"/>
        <rFont val="Times New Roman"/>
        <family val="1"/>
      </rPr>
      <t xml:space="preserve">      </t>
    </r>
    <r>
      <rPr>
        <sz val="11"/>
        <color rgb="FF000000"/>
        <rFont val="Calibri"/>
        <family val="2"/>
        <scheme val="minor"/>
      </rPr>
      <t>Asana</t>
    </r>
  </si>
  <si>
    <r>
      <t>f)</t>
    </r>
    <r>
      <rPr>
        <sz val="7"/>
        <color rgb="FF000000"/>
        <rFont val="Times New Roman"/>
        <family val="1"/>
      </rPr>
      <t xml:space="preserve">       </t>
    </r>
    <r>
      <rPr>
        <sz val="11"/>
        <color rgb="FF000000"/>
        <rFont val="Calibri"/>
        <family val="2"/>
        <scheme val="minor"/>
      </rPr>
      <t>Sevin</t>
    </r>
  </si>
  <si>
    <r>
      <t>g)</t>
    </r>
    <r>
      <rPr>
        <sz val="7"/>
        <color rgb="FF000000"/>
        <rFont val="Times New Roman"/>
        <family val="1"/>
      </rPr>
      <t xml:space="preserve">      </t>
    </r>
    <r>
      <rPr>
        <sz val="11"/>
        <color rgb="FF000000"/>
        <rFont val="Calibri"/>
        <family val="2"/>
        <scheme val="minor"/>
      </rPr>
      <t>Karate</t>
    </r>
  </si>
  <si>
    <r>
      <t>h)</t>
    </r>
    <r>
      <rPr>
        <sz val="7"/>
        <color rgb="FF000000"/>
        <rFont val="Times New Roman"/>
        <family val="1"/>
      </rPr>
      <t xml:space="preserve">      </t>
    </r>
    <r>
      <rPr>
        <sz val="11"/>
        <color rgb="FF000000"/>
        <rFont val="Calibri"/>
        <family val="2"/>
        <scheme val="minor"/>
      </rPr>
      <t>Baythroid</t>
    </r>
  </si>
  <si>
    <r>
      <t>i)</t>
    </r>
    <r>
      <rPr>
        <sz val="7"/>
        <color rgb="FF000000"/>
        <rFont val="Times New Roman"/>
        <family val="1"/>
      </rPr>
      <t xml:space="preserve">        </t>
    </r>
    <r>
      <rPr>
        <sz val="11"/>
        <color rgb="FF000000"/>
        <rFont val="Calibri"/>
        <family val="2"/>
        <scheme val="minor"/>
      </rPr>
      <t>Other</t>
    </r>
  </si>
  <si>
    <t>Fungicides</t>
  </si>
  <si>
    <r>
      <t>a.</t>
    </r>
    <r>
      <rPr>
        <sz val="7"/>
        <color rgb="FF000000"/>
        <rFont val="Times New Roman"/>
        <family val="1"/>
      </rPr>
      <t xml:space="preserve">       </t>
    </r>
    <r>
      <rPr>
        <sz val="11"/>
        <color rgb="FF000000"/>
        <rFont val="Calibri"/>
        <family val="2"/>
        <scheme val="minor"/>
      </rPr>
      <t>Apron</t>
    </r>
  </si>
  <si>
    <r>
      <t>b.</t>
    </r>
    <r>
      <rPr>
        <sz val="7"/>
        <color rgb="FF000000"/>
        <rFont val="Times New Roman"/>
        <family val="1"/>
      </rPr>
      <t xml:space="preserve">      </t>
    </r>
    <r>
      <rPr>
        <sz val="11"/>
        <color rgb="FF000000"/>
        <rFont val="Calibri"/>
        <family val="2"/>
        <scheme val="minor"/>
      </rPr>
      <t>Captan</t>
    </r>
  </si>
  <si>
    <r>
      <t>c.</t>
    </r>
    <r>
      <rPr>
        <sz val="7"/>
        <color rgb="FF000000"/>
        <rFont val="Times New Roman"/>
        <family val="1"/>
      </rPr>
      <t xml:space="preserve">       </t>
    </r>
    <r>
      <rPr>
        <sz val="11"/>
        <color rgb="FF000000"/>
        <rFont val="Calibri"/>
        <family val="2"/>
        <scheme val="minor"/>
      </rPr>
      <t>Other</t>
    </r>
  </si>
  <si>
    <r>
      <t>d.</t>
    </r>
    <r>
      <rPr>
        <sz val="7"/>
        <color rgb="FF000000"/>
        <rFont val="Times New Roman"/>
        <family val="1"/>
      </rPr>
      <t xml:space="preserve">      </t>
    </r>
    <r>
      <rPr>
        <sz val="11"/>
        <color rgb="FF000000"/>
        <rFont val="Calibri"/>
        <family val="2"/>
        <scheme val="minor"/>
      </rPr>
      <t>Other</t>
    </r>
  </si>
  <si>
    <t>Fertilizers</t>
  </si>
  <si>
    <r>
      <t>a)</t>
    </r>
    <r>
      <rPr>
        <sz val="7"/>
        <color rgb="FF000000"/>
        <rFont val="Times New Roman"/>
        <family val="1"/>
      </rPr>
      <t xml:space="preserve">      </t>
    </r>
    <r>
      <rPr>
        <sz val="11"/>
        <color rgb="FF000000"/>
        <rFont val="Calibri"/>
        <family val="2"/>
        <scheme val="minor"/>
      </rPr>
      <t>N-fertillizer</t>
    </r>
  </si>
  <si>
    <r>
      <t>b)</t>
    </r>
    <r>
      <rPr>
        <sz val="7"/>
        <color rgb="FF000000"/>
        <rFont val="Times New Roman"/>
        <family val="1"/>
      </rPr>
      <t xml:space="preserve">      </t>
    </r>
    <r>
      <rPr>
        <sz val="11"/>
        <color rgb="FF000000"/>
        <rFont val="Calibri"/>
        <family val="2"/>
        <scheme val="minor"/>
      </rPr>
      <t>Urea</t>
    </r>
  </si>
  <si>
    <r>
      <t>c)</t>
    </r>
    <r>
      <rPr>
        <sz val="7"/>
        <color rgb="FF000000"/>
        <rFont val="Times New Roman"/>
        <family val="1"/>
      </rPr>
      <t xml:space="preserve">       </t>
    </r>
    <r>
      <rPr>
        <sz val="11"/>
        <color rgb="FF000000"/>
        <rFont val="Calibri"/>
        <family val="2"/>
        <scheme val="minor"/>
      </rPr>
      <t>Ammoniun Nitrate</t>
    </r>
  </si>
  <si>
    <r>
      <t>d)</t>
    </r>
    <r>
      <rPr>
        <sz val="7"/>
        <color rgb="FF000000"/>
        <rFont val="Times New Roman"/>
        <family val="1"/>
      </rPr>
      <t xml:space="preserve">      </t>
    </r>
    <r>
      <rPr>
        <sz val="11"/>
        <color rgb="FF000000"/>
        <rFont val="Calibri"/>
        <family val="2"/>
        <scheme val="minor"/>
      </rPr>
      <t>Ammonium sulphate</t>
    </r>
  </si>
  <si>
    <r>
      <t>e)</t>
    </r>
    <r>
      <rPr>
        <sz val="7"/>
        <color rgb="FF000000"/>
        <rFont val="Times New Roman"/>
        <family val="1"/>
      </rPr>
      <t xml:space="preserve">      </t>
    </r>
    <r>
      <rPr>
        <sz val="11"/>
        <color rgb="FF000000"/>
        <rFont val="Calibri"/>
        <family val="2"/>
        <scheme val="minor"/>
      </rPr>
      <t>Ammonium nitrate phosphate</t>
    </r>
  </si>
  <si>
    <r>
      <t>f)</t>
    </r>
    <r>
      <rPr>
        <sz val="7"/>
        <color rgb="FF000000"/>
        <rFont val="Times New Roman"/>
        <family val="1"/>
      </rPr>
      <t xml:space="preserve">       </t>
    </r>
    <r>
      <rPr>
        <sz val="11"/>
        <color rgb="FF000000"/>
        <rFont val="Calibri"/>
        <family val="2"/>
        <scheme val="minor"/>
      </rPr>
      <t>Diammonium phosphate</t>
    </r>
  </si>
  <si>
    <r>
      <t>g)</t>
    </r>
    <r>
      <rPr>
        <sz val="7"/>
        <color rgb="FF000000"/>
        <rFont val="Times New Roman"/>
        <family val="1"/>
      </rPr>
      <t xml:space="preserve">      </t>
    </r>
    <r>
      <rPr>
        <sz val="11"/>
        <color rgb="FF000000"/>
        <rFont val="Calibri"/>
        <family val="2"/>
        <scheme val="minor"/>
      </rPr>
      <t>Calcium ammonium nitrate</t>
    </r>
  </si>
  <si>
    <r>
      <t>i)</t>
    </r>
    <r>
      <rPr>
        <sz val="7"/>
        <color rgb="FF000000"/>
        <rFont val="Times New Roman"/>
        <family val="1"/>
      </rPr>
      <t xml:space="preserve">        </t>
    </r>
    <r>
      <rPr>
        <sz val="11"/>
        <color rgb="FF000000"/>
        <rFont val="Calibri"/>
        <family val="2"/>
        <scheme val="minor"/>
      </rPr>
      <t>P2O5</t>
    </r>
  </si>
  <si>
    <r>
      <t>j)</t>
    </r>
    <r>
      <rPr>
        <sz val="7"/>
        <color rgb="FF000000"/>
        <rFont val="Times New Roman"/>
        <family val="1"/>
      </rPr>
      <t xml:space="preserve">        </t>
    </r>
    <r>
      <rPr>
        <sz val="11"/>
        <color rgb="FF000000"/>
        <rFont val="Calibri"/>
        <family val="2"/>
        <scheme val="minor"/>
      </rPr>
      <t>K2O</t>
    </r>
  </si>
  <si>
    <r>
      <t>k)</t>
    </r>
    <r>
      <rPr>
        <sz val="7"/>
        <color rgb="FF000000"/>
        <rFont val="Times New Roman"/>
        <family val="1"/>
      </rPr>
      <t xml:space="preserve">      </t>
    </r>
    <r>
      <rPr>
        <sz val="11"/>
        <color rgb="FF000000"/>
        <rFont val="Calibri"/>
        <family val="2"/>
        <scheme val="minor"/>
      </rPr>
      <t>CaO</t>
    </r>
  </si>
  <si>
    <t>N content m%</t>
  </si>
  <si>
    <t>amount</t>
  </si>
  <si>
    <t>Natural gas</t>
  </si>
  <si>
    <t>Kerosine</t>
  </si>
  <si>
    <t>A : Seed consumption</t>
  </si>
  <si>
    <t>l</t>
  </si>
  <si>
    <r>
      <t>k)</t>
    </r>
    <r>
      <rPr>
        <sz val="7"/>
        <color rgb="FF000000"/>
        <rFont val="Times New Roman"/>
        <family val="1"/>
      </rPr>
      <t xml:space="preserve">      </t>
    </r>
    <r>
      <rPr>
        <sz val="11"/>
        <color rgb="FF000000"/>
        <rFont val="Times New Roman"/>
        <family val="1"/>
      </rPr>
      <t>Lime</t>
    </r>
  </si>
  <si>
    <t>Too much detail - covered in part of C and E</t>
  </si>
  <si>
    <t>km's/year</t>
  </si>
  <si>
    <t>transport for storage etc. not beyond "gate"</t>
  </si>
  <si>
    <t>total kg</t>
  </si>
  <si>
    <t>kg N</t>
  </si>
  <si>
    <t>trucks loaded</t>
  </si>
  <si>
    <t>trucks unloaded</t>
  </si>
  <si>
    <t>Ton</t>
  </si>
  <si>
    <t>CO2 emission per ton of crop</t>
  </si>
  <si>
    <t>median emission</t>
  </si>
  <si>
    <t>Total Sorghum</t>
  </si>
  <si>
    <t>TOTALS</t>
  </si>
  <si>
    <t>not in questionairre</t>
  </si>
  <si>
    <t>Ind. EF</t>
  </si>
  <si>
    <t>G : Land use change</t>
  </si>
  <si>
    <t>to</t>
  </si>
  <si>
    <t>from</t>
  </si>
  <si>
    <t>acres</t>
  </si>
  <si>
    <t>type of waste</t>
  </si>
  <si>
    <t>plastic bags</t>
  </si>
  <si>
    <t>a</t>
  </si>
  <si>
    <t>b</t>
  </si>
  <si>
    <t>c</t>
  </si>
  <si>
    <t>cropland includes fallow land</t>
  </si>
  <si>
    <t>general: use of biomass not included yet</t>
  </si>
  <si>
    <t>Subtotals ton CO2e</t>
  </si>
  <si>
    <t>A</t>
  </si>
  <si>
    <t>B</t>
  </si>
  <si>
    <t>C</t>
  </si>
  <si>
    <t>D</t>
  </si>
  <si>
    <t>E</t>
  </si>
  <si>
    <t>F</t>
  </si>
  <si>
    <t>G</t>
  </si>
  <si>
    <t>Total CO2e/year</t>
  </si>
  <si>
    <t>barge</t>
  </si>
  <si>
    <t>ton km</t>
  </si>
  <si>
    <t>if applicable</t>
  </si>
  <si>
    <t>diesel</t>
  </si>
  <si>
    <t>source</t>
  </si>
  <si>
    <r>
      <rPr>
        <u/>
        <sz val="11"/>
        <color theme="1"/>
        <rFont val="Calibri"/>
        <family val="2"/>
        <scheme val="minor"/>
      </rPr>
      <t>forest land, grassland, cropland (annual/perennial)</t>
    </r>
    <r>
      <rPr>
        <sz val="11"/>
        <color theme="1"/>
        <rFont val="Calibri"/>
        <family val="2"/>
        <scheme val="minor"/>
      </rPr>
      <t>, wetlands, settlements and other land)</t>
    </r>
  </si>
  <si>
    <t>Contribution</t>
  </si>
  <si>
    <t>Subtotals in % of total CO2e/yr</t>
  </si>
  <si>
    <t>Primary Tillage</t>
  </si>
  <si>
    <t>Moldboard plow</t>
  </si>
  <si>
    <t>chisel disk</t>
  </si>
  <si>
    <t>Offset disk</t>
  </si>
  <si>
    <t>Subsoiler</t>
  </si>
  <si>
    <t>Secondary Tillage</t>
  </si>
  <si>
    <t>Disk</t>
  </si>
  <si>
    <t>Field Cultivator</t>
  </si>
  <si>
    <t>Spring tooth harrow</t>
  </si>
  <si>
    <t>Fertilizer Application</t>
  </si>
  <si>
    <t>Strip till fertilizer</t>
  </si>
  <si>
    <t>Knife/coulter in fertilizer (other than strip till)</t>
  </si>
  <si>
    <t>dry spread fertilizer</t>
  </si>
  <si>
    <t>Spray fertilizer</t>
  </si>
  <si>
    <t>Planting</t>
  </si>
  <si>
    <t>Row planter</t>
  </si>
  <si>
    <t>Box drill</t>
  </si>
  <si>
    <t>Air drill</t>
  </si>
  <si>
    <t>Cultivation</t>
  </si>
  <si>
    <t>Row cultivator</t>
  </si>
  <si>
    <t>Rotary hoe</t>
  </si>
  <si>
    <t>Harvest with Combine</t>
  </si>
  <si>
    <t>hectares</t>
  </si>
  <si>
    <t>total amount</t>
  </si>
  <si>
    <t>Other Energy carriers</t>
  </si>
  <si>
    <t>diesel per acre</t>
  </si>
  <si>
    <t>lbs/acre</t>
  </si>
  <si>
    <t>seed treatment ?</t>
  </si>
  <si>
    <t>Energy for irrigation</t>
  </si>
  <si>
    <t>average depth</t>
  </si>
  <si>
    <t>standard yield</t>
  </si>
  <si>
    <t xml:space="preserve">inches on avarege </t>
  </si>
  <si>
    <t>Energy for drying</t>
  </si>
  <si>
    <t>gas</t>
  </si>
  <si>
    <t>electricity</t>
  </si>
  <si>
    <t>energy needed in MJ</t>
  </si>
  <si>
    <t>kg CO2-eq / year /acre</t>
  </si>
  <si>
    <t>total acres</t>
  </si>
  <si>
    <t>For diesel per acre, see list virginia tech</t>
  </si>
  <si>
    <t xml:space="preserve">A list of active ingredients will be made. </t>
  </si>
  <si>
    <t xml:space="preserve">This needs to be used to get kg. With that we will use one EF. </t>
  </si>
  <si>
    <t xml:space="preserve">Assumption is no land use change: All the land was waste land before the Americans came and is used for farming for ages. The sorghum specifically grows on dry land, that had no forrest on before, but was more waste land. </t>
  </si>
  <si>
    <t>definition land use change (iscc: from crop to crop to fallow is not land use change)</t>
  </si>
  <si>
    <t xml:space="preserve">Most calculations will be made per acre and can be somed to a total. Total and split in irrigated/no irrigated. </t>
  </si>
  <si>
    <t xml:space="preserve">EF for seeds to be found this is included in production. </t>
  </si>
  <si>
    <t>included transport of seeds, heating, cooling, light.</t>
  </si>
  <si>
    <t xml:space="preserve">No heating/cooling, electricity of warehouse will be calculated in other energy use. </t>
  </si>
  <si>
    <t xml:space="preserve">effiency of pump 60-80% see email Mark. With that energy use should be calculated. </t>
  </si>
  <si>
    <r>
      <t>h)</t>
    </r>
    <r>
      <rPr>
        <sz val="7"/>
        <color rgb="FF000000"/>
        <rFont val="Times New Roman"/>
        <family val="1"/>
      </rPr>
      <t xml:space="preserve">      </t>
    </r>
    <r>
      <rPr>
        <sz val="11"/>
        <color rgb="FF000000"/>
        <rFont val="Calibri"/>
        <family val="2"/>
        <scheme val="minor"/>
      </rPr>
      <t xml:space="preserve">Field emissions </t>
    </r>
    <r>
      <rPr>
        <sz val="11"/>
        <color rgb="FFFF0000"/>
        <rFont val="Calibri"/>
        <family val="2"/>
        <scheme val="minor"/>
      </rPr>
      <t>per kg N</t>
    </r>
  </si>
  <si>
    <t xml:space="preserve">not in questionaire, is mostly included in EF of seeds, insecticides etc. </t>
  </si>
  <si>
    <t xml:space="preserve">First total per acre. This can be divided per production per acre. </t>
  </si>
  <si>
    <t>Custom operations</t>
  </si>
  <si>
    <t>Nitrogen</t>
  </si>
  <si>
    <t>Potassium</t>
  </si>
  <si>
    <t>Pounds</t>
  </si>
  <si>
    <t>Atrazine</t>
  </si>
  <si>
    <t>BTUs</t>
  </si>
  <si>
    <t>Gallons</t>
  </si>
  <si>
    <t>Phosphorous</t>
  </si>
  <si>
    <t>Irrigated</t>
  </si>
  <si>
    <t>Dryland</t>
  </si>
  <si>
    <t>Production</t>
  </si>
  <si>
    <t>Pounds to Grams</t>
  </si>
  <si>
    <t>Conversions</t>
  </si>
  <si>
    <t>Trip Type</t>
  </si>
  <si>
    <t>Fuel</t>
  </si>
  <si>
    <t>Residual Fuel</t>
  </si>
  <si>
    <t>Natural Gas</t>
  </si>
  <si>
    <t>Percent of Acres</t>
  </si>
  <si>
    <t xml:space="preserve"> </t>
  </si>
  <si>
    <t>Fertilizer</t>
  </si>
  <si>
    <t>Total Usage</t>
  </si>
  <si>
    <t>Inches Applied</t>
  </si>
  <si>
    <t>Irrigation Fuel</t>
  </si>
  <si>
    <t>Diesel in Gallons</t>
  </si>
  <si>
    <t>Electricity in Kilowatt-hours</t>
  </si>
  <si>
    <t>Natural Gas in Cubic Feet</t>
  </si>
  <si>
    <t>Kilowatt-hours</t>
  </si>
  <si>
    <t>Cubic Feet</t>
  </si>
  <si>
    <t>Usage</t>
  </si>
  <si>
    <t>Share</t>
  </si>
  <si>
    <t>Kilowatt-Hours</t>
  </si>
  <si>
    <t>BTUs per Bushel</t>
  </si>
  <si>
    <t>Acetochlor</t>
  </si>
  <si>
    <t>Cyanazine</t>
  </si>
  <si>
    <t>Active Ingredient</t>
  </si>
  <si>
    <t>Metolachlor</t>
  </si>
  <si>
    <t>Weighted AI Factor</t>
  </si>
  <si>
    <t>Weighted AI</t>
  </si>
  <si>
    <t>Tillage Fuel</t>
  </si>
  <si>
    <t>Pounds of AI per Acre</t>
  </si>
  <si>
    <t>Pounds of AI per Bushel</t>
  </si>
  <si>
    <t>Grams of AI per Bushel</t>
  </si>
  <si>
    <t>Natural Gas (scf)</t>
  </si>
  <si>
    <t>Electricity (kWh)</t>
  </si>
  <si>
    <t>Diesel (gal.)</t>
  </si>
  <si>
    <t>Gasoline (gal.)</t>
  </si>
  <si>
    <t>Lift in Feet</t>
  </si>
  <si>
    <t>References</t>
  </si>
  <si>
    <t>Acres (1)</t>
  </si>
  <si>
    <t>Percent Treated (1)</t>
  </si>
  <si>
    <t>Jet Fuel</t>
  </si>
  <si>
    <t>Total Energy Use</t>
  </si>
  <si>
    <t>Total Herbicide</t>
  </si>
  <si>
    <t>Average Yield (1)</t>
  </si>
  <si>
    <t>Average</t>
  </si>
  <si>
    <t>Average Share</t>
  </si>
  <si>
    <t>No Till</t>
  </si>
  <si>
    <t>Strip Till</t>
  </si>
  <si>
    <t>Conventional Till</t>
  </si>
  <si>
    <t>Tillage Type</t>
  </si>
  <si>
    <t>Gallons per Acre (2)</t>
  </si>
  <si>
    <t>1 Carbon Footprint Study, Strategic Marketing Research and Planning</t>
  </si>
  <si>
    <t>Energy Type</t>
  </si>
  <si>
    <t>Irrigation Practice</t>
  </si>
  <si>
    <t>Total Dryland</t>
  </si>
  <si>
    <t>Total Irrigated</t>
  </si>
  <si>
    <t>Pumping Attribute</t>
  </si>
  <si>
    <t>Diesel Used</t>
  </si>
  <si>
    <t>Usage on Irrigated Acres</t>
  </si>
  <si>
    <t>3 The Carbon Footprint of Sorghum, SGS</t>
  </si>
  <si>
    <t>4 Using Fuel Price as a Factor in Tillage System Selection, University of Nebraska</t>
  </si>
  <si>
    <t>5 Predicting Tractor Diesel Fuel Consumption, Virginia Cooperative Extension</t>
  </si>
  <si>
    <t>6 CA-GREET 3.0 Model, California Air Resources Board</t>
  </si>
  <si>
    <t>7 Evaluating Energy Use for Pumping Irrigation Water, University of Nebraska</t>
  </si>
  <si>
    <t>8 AAtrex (atrazine) Specimen Label, Syngenta</t>
  </si>
  <si>
    <t>9 Dual Magnum (metolachlor) Specimen Label, Syngenta</t>
  </si>
  <si>
    <t>10 Warrant (acetochlor) Specimen Label, Monsanto</t>
  </si>
  <si>
    <t>11 Bladex (cyanazine) Supplemental Label, DuPont</t>
  </si>
  <si>
    <t>2 Soil Fertility, Colorado State University</t>
  </si>
  <si>
    <t>2008 (3)</t>
  </si>
  <si>
    <t>2009 (3)</t>
  </si>
  <si>
    <t>2010 (3)</t>
  </si>
  <si>
    <t>2011 (3)</t>
  </si>
  <si>
    <t>Weight (6)</t>
  </si>
  <si>
    <t>AI (8, 9, 10, 11)</t>
  </si>
  <si>
    <t>Gallons of Diesel Used per Acre (4)</t>
  </si>
  <si>
    <t>BTUs per Unit (6)</t>
  </si>
  <si>
    <t>Fuel Needed to Pump 1 Inch from 150 Feet (7)</t>
  </si>
  <si>
    <t>Pump Efficiency Factor at 60 Percent (7)</t>
  </si>
  <si>
    <t>Irrigated Target Pounds per Acre (1)</t>
  </si>
  <si>
    <t>Dryland Target Pounds per Acre (1)</t>
  </si>
  <si>
    <t>Effective Irrigated Target Rate</t>
  </si>
  <si>
    <t>Effective Dryland Target Rate</t>
  </si>
  <si>
    <t>Weighted Target Rate per Acre in Pounds</t>
  </si>
  <si>
    <t>Application Rate in Pounds per Bushel</t>
  </si>
  <si>
    <t>Application Rate in Grams per Bushel</t>
  </si>
  <si>
    <t>Organic Matter Nitrogen Credit (1, 2)</t>
  </si>
  <si>
    <t>Plant, Spray and Harvest Fuel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</si>
</sst>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6"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sz val="7"/>
      <color rgb="FF000000"/>
      <name val="Times New Roman"/>
      <family val="1"/>
    </font>
    <font>
      <sz val="8"/>
      <color theme="1"/>
      <name val="Calibri"/>
      <family val="2"/>
      <scheme val="minor"/>
    </font>
    <font>
      <sz val="11"/>
      <color rgb="FF000000"/>
      <name val="Times New Roman"/>
      <family val="1"/>
    </font>
    <font>
      <u/>
      <sz val="11"/>
      <color theme="1"/>
      <name val="Calibri"/>
      <family val="2"/>
      <scheme val="minor"/>
    </font>
    <font>
      <sz val="11"/>
      <color rgb="FFFF0000"/>
      <name val="Calibri"/>
      <family val="2"/>
      <scheme val="minor"/>
    </font>
    <font>
      <b/>
      <sz val="11"/>
      <color theme="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1">
    <border>
      <left/>
      <right/>
      <top/>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3" fillId="0" borderId="0" applyNumberFormat="0" applyFill="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5" applyNumberFormat="0" applyAlignment="0" applyProtection="0"/>
    <xf numFmtId="0" fontId="21" fillId="6" borderId="16" applyNumberFormat="0" applyAlignment="0" applyProtection="0"/>
    <xf numFmtId="0" fontId="22" fillId="6" borderId="15" applyNumberFormat="0" applyAlignment="0" applyProtection="0"/>
    <xf numFmtId="0" fontId="23" fillId="0" borderId="17" applyNumberFormat="0" applyFill="0" applyAlignment="0" applyProtection="0"/>
    <xf numFmtId="0" fontId="11" fillId="7" borderId="18" applyNumberFormat="0" applyAlignment="0" applyProtection="0"/>
    <xf numFmtId="0" fontId="10" fillId="0" borderId="0" applyNumberFormat="0" applyFill="0" applyBorder="0" applyAlignment="0" applyProtection="0"/>
    <xf numFmtId="0" fontId="12" fillId="8" borderId="19" applyNumberFormat="0" applyFont="0" applyAlignment="0" applyProtection="0"/>
    <xf numFmtId="0" fontId="24" fillId="0" borderId="0" applyNumberFormat="0" applyFill="0" applyBorder="0" applyAlignment="0" applyProtection="0"/>
    <xf numFmtId="0" fontId="1" fillId="0" borderId="20" applyNumberFormat="0" applyFill="0" applyAlignment="0" applyProtection="0"/>
    <xf numFmtId="0" fontId="25"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5" fillId="32" borderId="0" applyNumberFormat="0" applyBorder="0" applyAlignment="0" applyProtection="0"/>
    <xf numFmtId="43" fontId="12" fillId="0" borderId="0" applyFont="0" applyFill="0" applyBorder="0" applyAlignment="0" applyProtection="0"/>
  </cellStyleXfs>
  <cellXfs count="143">
    <xf numFmtId="0" fontId="0" fillId="0" borderId="0" xfId="0"/>
    <xf numFmtId="0" fontId="2" fillId="0" borderId="0" xfId="0" applyFont="1"/>
    <xf numFmtId="0" fontId="3" fillId="0" borderId="0" xfId="0" applyFont="1"/>
    <xf numFmtId="0" fontId="4" fillId="0" borderId="0" xfId="0" applyFont="1"/>
    <xf numFmtId="0" fontId="0" fillId="0" borderId="0" xfId="0" applyFont="1"/>
    <xf numFmtId="0" fontId="5" fillId="0" borderId="0" xfId="0" applyFont="1" applyAlignment="1">
      <alignment horizontal="left"/>
    </xf>
    <xf numFmtId="0" fontId="5" fillId="0" borderId="0" xfId="0" applyFont="1" applyAlignment="1"/>
    <xf numFmtId="0" fontId="5" fillId="0" borderId="0" xfId="0" applyFont="1" applyAlignment="1">
      <alignment vertical="top" wrapText="1"/>
    </xf>
    <xf numFmtId="0" fontId="0" fillId="0" borderId="0" xfId="0" applyAlignment="1"/>
    <xf numFmtId="0" fontId="4" fillId="0" borderId="0" xfId="0" applyFont="1" applyAlignment="1">
      <alignment horizontal="center"/>
    </xf>
    <xf numFmtId="2" fontId="0" fillId="0" borderId="0" xfId="0" applyNumberFormat="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wrapText="1"/>
    </xf>
    <xf numFmtId="0" fontId="0" fillId="0" borderId="0" xfId="0" applyAlignment="1">
      <alignment wrapText="1"/>
    </xf>
    <xf numFmtId="0" fontId="10" fillId="0" borderId="1" xfId="0" applyFont="1" applyBorder="1" applyAlignment="1">
      <alignment wrapText="1"/>
    </xf>
    <xf numFmtId="0" fontId="10" fillId="0" borderId="0" xfId="0" applyFont="1"/>
    <xf numFmtId="0" fontId="0" fillId="0" borderId="0" xfId="0" applyAlignment="1">
      <alignment horizontal="left"/>
    </xf>
    <xf numFmtId="0" fontId="0" fillId="33" borderId="3" xfId="0" applyFill="1" applyBorder="1" applyAlignment="1">
      <alignment horizontal="center"/>
    </xf>
    <xf numFmtId="0" fontId="0" fillId="33" borderId="6" xfId="0" applyFill="1" applyBorder="1" applyAlignment="1">
      <alignment horizontal="center"/>
    </xf>
    <xf numFmtId="0" fontId="0" fillId="33" borderId="4" xfId="0" applyFill="1" applyBorder="1" applyAlignment="1">
      <alignment horizontal="center"/>
    </xf>
    <xf numFmtId="0" fontId="0" fillId="33" borderId="7" xfId="0" applyFill="1" applyBorder="1" applyAlignment="1">
      <alignment horizontal="center"/>
    </xf>
    <xf numFmtId="2" fontId="0" fillId="33" borderId="4" xfId="0" applyNumberFormat="1" applyFill="1" applyBorder="1" applyAlignment="1">
      <alignment horizontal="center"/>
    </xf>
    <xf numFmtId="2" fontId="0" fillId="0" borderId="8" xfId="0" applyNumberFormat="1" applyFill="1" applyBorder="1" applyAlignment="1">
      <alignment horizontal="center"/>
    </xf>
    <xf numFmtId="4" fontId="0" fillId="33" borderId="0" xfId="0" applyNumberFormat="1" applyFill="1" applyBorder="1" applyAlignment="1">
      <alignment horizontal="center"/>
    </xf>
    <xf numFmtId="10" fontId="0" fillId="33" borderId="8" xfId="0" applyNumberFormat="1" applyFill="1" applyBorder="1" applyAlignment="1">
      <alignment horizontal="center"/>
    </xf>
    <xf numFmtId="4" fontId="0" fillId="33" borderId="10" xfId="0" applyNumberFormat="1" applyFill="1" applyBorder="1" applyAlignment="1">
      <alignment horizontal="center"/>
    </xf>
    <xf numFmtId="10" fontId="0" fillId="33" borderId="11" xfId="0" applyNumberFormat="1" applyFill="1" applyBorder="1" applyAlignment="1">
      <alignment horizontal="center"/>
    </xf>
    <xf numFmtId="0" fontId="0" fillId="33" borderId="8" xfId="0" applyFill="1" applyBorder="1" applyAlignment="1">
      <alignment horizontal="center"/>
    </xf>
    <xf numFmtId="4" fontId="0" fillId="0" borderId="0" xfId="0" applyNumberFormat="1" applyAlignment="1">
      <alignment horizontal="center"/>
    </xf>
    <xf numFmtId="4" fontId="0" fillId="33" borderId="8" xfId="0" applyNumberFormat="1" applyFill="1" applyBorder="1" applyAlignment="1">
      <alignment horizontal="center"/>
    </xf>
    <xf numFmtId="4" fontId="0" fillId="33" borderId="11" xfId="0" applyNumberFormat="1" applyFill="1" applyBorder="1" applyAlignment="1">
      <alignment horizontal="center"/>
    </xf>
    <xf numFmtId="2" fontId="0" fillId="33" borderId="8" xfId="0" applyNumberFormat="1" applyFill="1" applyBorder="1" applyAlignment="1">
      <alignment horizontal="center"/>
    </xf>
    <xf numFmtId="4" fontId="0" fillId="0" borderId="0" xfId="0" applyNumberFormat="1" applyBorder="1" applyAlignment="1">
      <alignment horizontal="center"/>
    </xf>
    <xf numFmtId="4" fontId="0" fillId="0" borderId="8" xfId="0" applyNumberFormat="1" applyBorder="1" applyAlignment="1">
      <alignment horizontal="center"/>
    </xf>
    <xf numFmtId="4" fontId="0" fillId="33" borderId="6" xfId="0" applyNumberFormat="1" applyFill="1" applyBorder="1" applyAlignment="1">
      <alignment horizontal="center"/>
    </xf>
    <xf numFmtId="4" fontId="0" fillId="33" borderId="7" xfId="0" applyNumberFormat="1" applyFill="1" applyBorder="1" applyAlignment="1">
      <alignment horizontal="center"/>
    </xf>
    <xf numFmtId="4" fontId="0" fillId="33" borderId="3" xfId="0" applyNumberFormat="1" applyFill="1" applyBorder="1" applyAlignment="1">
      <alignment horizontal="center"/>
    </xf>
    <xf numFmtId="4" fontId="0" fillId="33" borderId="4" xfId="0" applyNumberFormat="1" applyFill="1" applyBorder="1" applyAlignment="1">
      <alignment horizontal="center"/>
    </xf>
    <xf numFmtId="0" fontId="0" fillId="33" borderId="11" xfId="0" applyFill="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1" fontId="0" fillId="33" borderId="3" xfId="0" applyNumberFormat="1" applyFill="1" applyBorder="1" applyAlignment="1">
      <alignment horizontal="center"/>
    </xf>
    <xf numFmtId="10" fontId="0" fillId="33" borderId="6" xfId="0" applyNumberFormat="1" applyFill="1" applyBorder="1" applyAlignment="1">
      <alignment horizontal="center"/>
    </xf>
    <xf numFmtId="0" fontId="0" fillId="33" borderId="0" xfId="0" applyFill="1" applyBorder="1" applyAlignment="1">
      <alignment horizontal="center"/>
    </xf>
    <xf numFmtId="10" fontId="0" fillId="33" borderId="0" xfId="0" applyNumberFormat="1" applyFill="1" applyBorder="1" applyAlignment="1">
      <alignment horizontal="center"/>
    </xf>
    <xf numFmtId="0" fontId="0" fillId="33" borderId="10" xfId="0" applyFill="1" applyBorder="1" applyAlignment="1">
      <alignment horizontal="center"/>
    </xf>
    <xf numFmtId="10" fontId="0" fillId="33" borderId="10" xfId="0" applyNumberFormat="1" applyFill="1" applyBorder="1" applyAlignment="1">
      <alignment horizontal="center"/>
    </xf>
    <xf numFmtId="4" fontId="0" fillId="0" borderId="8" xfId="0" applyNumberFormat="1" applyFill="1" applyBorder="1" applyAlignment="1">
      <alignment horizontal="center"/>
    </xf>
    <xf numFmtId="0" fontId="0" fillId="0" borderId="0" xfId="0" applyFont="1" applyFill="1" applyBorder="1" applyAlignment="1">
      <alignment horizontal="center"/>
    </xf>
    <xf numFmtId="10" fontId="0" fillId="0" borderId="0" xfId="0" applyNumberFormat="1" applyFont="1" applyFill="1" applyBorder="1" applyAlignment="1">
      <alignment horizontal="center"/>
    </xf>
    <xf numFmtId="4" fontId="0" fillId="33" borderId="6" xfId="0" applyNumberFormat="1" applyFont="1" applyFill="1" applyBorder="1" applyAlignment="1">
      <alignment horizontal="center"/>
    </xf>
    <xf numFmtId="10" fontId="0" fillId="33" borderId="7" xfId="0" applyNumberFormat="1" applyFont="1" applyFill="1" applyBorder="1" applyAlignment="1">
      <alignment horizontal="center"/>
    </xf>
    <xf numFmtId="4" fontId="0" fillId="33" borderId="0" xfId="0" applyNumberFormat="1" applyFont="1" applyFill="1" applyBorder="1" applyAlignment="1">
      <alignment horizontal="center"/>
    </xf>
    <xf numFmtId="10" fontId="0" fillId="33" borderId="8" xfId="0" applyNumberFormat="1" applyFont="1" applyFill="1" applyBorder="1" applyAlignment="1">
      <alignment horizontal="center"/>
    </xf>
    <xf numFmtId="0" fontId="0" fillId="33" borderId="0" xfId="0" applyFont="1" applyFill="1" applyBorder="1" applyAlignment="1">
      <alignment horizontal="center"/>
    </xf>
    <xf numFmtId="0" fontId="0" fillId="33" borderId="8" xfId="0" applyFont="1" applyFill="1" applyBorder="1" applyAlignment="1">
      <alignment horizontal="center"/>
    </xf>
    <xf numFmtId="0" fontId="0" fillId="33" borderId="10" xfId="0" applyFont="1" applyFill="1" applyBorder="1" applyAlignment="1">
      <alignment horizontal="center"/>
    </xf>
    <xf numFmtId="4" fontId="0" fillId="33" borderId="10" xfId="0" applyNumberFormat="1" applyFont="1" applyFill="1" applyBorder="1" applyAlignment="1">
      <alignment horizontal="center"/>
    </xf>
    <xf numFmtId="0" fontId="0" fillId="33" borderId="11" xfId="0" applyFont="1" applyFill="1" applyBorder="1" applyAlignment="1">
      <alignment horizontal="center"/>
    </xf>
    <xf numFmtId="4" fontId="0" fillId="0" borderId="0" xfId="0" applyNumberFormat="1" applyFont="1" applyAlignment="1">
      <alignment horizontal="center"/>
    </xf>
    <xf numFmtId="2" fontId="0" fillId="33" borderId="0" xfId="0" applyNumberFormat="1" applyFill="1" applyBorder="1" applyAlignment="1">
      <alignment horizontal="center"/>
    </xf>
    <xf numFmtId="2" fontId="0" fillId="33" borderId="11" xfId="0" applyNumberFormat="1" applyFill="1" applyBorder="1" applyAlignment="1">
      <alignment horizontal="center"/>
    </xf>
    <xf numFmtId="10" fontId="0" fillId="0" borderId="0" xfId="0" applyNumberFormat="1" applyAlignment="1">
      <alignment horizontal="center"/>
    </xf>
    <xf numFmtId="4" fontId="0" fillId="33" borderId="1" xfId="0" applyNumberFormat="1" applyFill="1" applyBorder="1" applyAlignment="1">
      <alignment horizontal="center"/>
    </xf>
    <xf numFmtId="4" fontId="0" fillId="33" borderId="9" xfId="0" applyNumberFormat="1" applyFill="1" applyBorder="1" applyAlignment="1">
      <alignment horizontal="center"/>
    </xf>
    <xf numFmtId="0" fontId="0" fillId="0" borderId="0" xfId="0" applyFill="1" applyBorder="1" applyAlignment="1"/>
    <xf numFmtId="0" fontId="0" fillId="0" borderId="0" xfId="0" applyFill="1" applyBorder="1" applyAlignment="1">
      <alignment horizontal="center"/>
    </xf>
    <xf numFmtId="3" fontId="0" fillId="0" borderId="0" xfId="0" applyNumberFormat="1" applyAlignment="1">
      <alignment horizontal="center"/>
    </xf>
    <xf numFmtId="10" fontId="0" fillId="0" borderId="0" xfId="0" applyNumberFormat="1" applyFill="1" applyBorder="1" applyAlignment="1">
      <alignment horizontal="left"/>
    </xf>
    <xf numFmtId="4" fontId="0" fillId="0" borderId="0" xfId="0" applyNumberFormat="1" applyFill="1" applyBorder="1" applyAlignment="1">
      <alignment horizontal="center"/>
    </xf>
    <xf numFmtId="4" fontId="0" fillId="33" borderId="5" xfId="0" applyNumberFormat="1" applyFill="1" applyBorder="1" applyAlignment="1">
      <alignment horizontal="center"/>
    </xf>
    <xf numFmtId="0" fontId="0" fillId="0" borderId="0" xfId="0" applyFill="1" applyBorder="1" applyAlignment="1">
      <alignment horizontal="left"/>
    </xf>
    <xf numFmtId="0" fontId="0" fillId="33" borderId="1" xfId="0" applyFill="1" applyBorder="1" applyAlignment="1"/>
    <xf numFmtId="0" fontId="0" fillId="33" borderId="9" xfId="0" applyFill="1" applyBorder="1" applyAlignment="1"/>
    <xf numFmtId="0" fontId="0" fillId="33" borderId="6" xfId="0" applyFill="1" applyBorder="1" applyAlignment="1">
      <alignment horizontal="center" wrapText="1"/>
    </xf>
    <xf numFmtId="0" fontId="0" fillId="33" borderId="0" xfId="0" applyFill="1" applyBorder="1" applyAlignment="1">
      <alignment horizontal="center" wrapText="1"/>
    </xf>
    <xf numFmtId="0" fontId="0" fillId="33" borderId="10" xfId="0" applyFill="1" applyBorder="1" applyAlignment="1">
      <alignment horizontal="center" wrapText="1"/>
    </xf>
    <xf numFmtId="4" fontId="0" fillId="0" borderId="0" xfId="42" applyNumberFormat="1" applyFont="1" applyFill="1" applyBorder="1" applyAlignment="1">
      <alignment horizontal="center"/>
    </xf>
    <xf numFmtId="0" fontId="0" fillId="33" borderId="3" xfId="0" applyFill="1" applyBorder="1" applyAlignment="1">
      <alignment horizontal="center" wrapText="1"/>
    </xf>
    <xf numFmtId="0" fontId="0" fillId="33" borderId="2" xfId="0" applyFill="1" applyBorder="1" applyAlignment="1"/>
    <xf numFmtId="0" fontId="0" fillId="33" borderId="3" xfId="0" applyFill="1" applyBorder="1" applyAlignment="1">
      <alignment horizontal="center" vertical="center" wrapText="1"/>
    </xf>
    <xf numFmtId="0" fontId="0" fillId="33" borderId="4" xfId="0" applyFill="1" applyBorder="1" applyAlignment="1">
      <alignment horizontal="center" vertical="center" wrapText="1"/>
    </xf>
    <xf numFmtId="4" fontId="0" fillId="0" borderId="3" xfId="0" applyNumberFormat="1" applyBorder="1" applyAlignment="1">
      <alignment horizontal="center"/>
    </xf>
    <xf numFmtId="4" fontId="0" fillId="0" borderId="4" xfId="0" applyNumberFormat="1" applyBorder="1" applyAlignment="1">
      <alignment horizontal="center"/>
    </xf>
    <xf numFmtId="0" fontId="0" fillId="33" borderId="4" xfId="0" applyFill="1" applyBorder="1" applyAlignment="1">
      <alignment horizontal="center" vertical="center"/>
    </xf>
    <xf numFmtId="0" fontId="0" fillId="0" borderId="0" xfId="0" applyAlignment="1">
      <alignment horizontal="center" wrapText="1"/>
    </xf>
    <xf numFmtId="4" fontId="0" fillId="33" borderId="6" xfId="0" applyNumberFormat="1" applyFill="1" applyBorder="1" applyAlignment="1">
      <alignment horizontal="center" wrapText="1"/>
    </xf>
    <xf numFmtId="4" fontId="0" fillId="33" borderId="0" xfId="0" applyNumberFormat="1" applyFill="1" applyBorder="1" applyAlignment="1">
      <alignment horizontal="center" wrapText="1"/>
    </xf>
    <xf numFmtId="4" fontId="0" fillId="33" borderId="10" xfId="0" applyNumberFormat="1" applyFill="1" applyBorder="1" applyAlignment="1">
      <alignment horizontal="center" wrapText="1"/>
    </xf>
    <xf numFmtId="0" fontId="0" fillId="0" borderId="0" xfId="0" applyBorder="1" applyAlignment="1">
      <alignment horizontal="center" wrapText="1"/>
    </xf>
    <xf numFmtId="1" fontId="0" fillId="33" borderId="3" xfId="0" applyNumberFormat="1" applyFill="1" applyBorder="1" applyAlignment="1">
      <alignment horizontal="center" wrapText="1"/>
    </xf>
    <xf numFmtId="0" fontId="0" fillId="0" borderId="0" xfId="0" applyFont="1" applyAlignment="1">
      <alignment horizontal="center" wrapText="1"/>
    </xf>
    <xf numFmtId="0" fontId="0" fillId="33" borderId="5" xfId="0" applyFill="1" applyBorder="1" applyAlignment="1">
      <alignment horizontal="left"/>
    </xf>
    <xf numFmtId="0" fontId="0" fillId="33" borderId="1" xfId="0" applyFill="1" applyBorder="1" applyAlignment="1">
      <alignment horizontal="left"/>
    </xf>
    <xf numFmtId="0" fontId="0" fillId="33" borderId="9" xfId="0" applyFill="1" applyBorder="1" applyAlignment="1">
      <alignment horizontal="left"/>
    </xf>
    <xf numFmtId="0" fontId="0" fillId="33" borderId="2" xfId="0" applyFill="1" applyBorder="1" applyAlignment="1">
      <alignment horizontal="left" vertical="center"/>
    </xf>
    <xf numFmtId="0" fontId="0" fillId="33" borderId="2" xfId="0" applyFill="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33" borderId="2" xfId="0" applyFill="1" applyBorder="1" applyAlignment="1">
      <alignment horizontal="left" wrapText="1"/>
    </xf>
    <xf numFmtId="0" fontId="0" fillId="0" borderId="1" xfId="0" applyFill="1" applyBorder="1" applyAlignment="1">
      <alignment horizontal="left" wrapText="1"/>
    </xf>
    <xf numFmtId="0" fontId="0" fillId="0" borderId="2" xfId="0" applyBorder="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33" borderId="5" xfId="0" applyFill="1" applyBorder="1" applyAlignment="1">
      <alignment vertical="center" wrapText="1"/>
    </xf>
    <xf numFmtId="0" fontId="0" fillId="0" borderId="0" xfId="0" applyAlignment="1">
      <alignment horizontal="center"/>
    </xf>
    <xf numFmtId="0" fontId="0" fillId="0" borderId="0" xfId="0" applyAlignment="1">
      <alignment horizontal="left"/>
    </xf>
    <xf numFmtId="0" fontId="0" fillId="33" borderId="4" xfId="0" applyFill="1" applyBorder="1" applyAlignment="1">
      <alignment horizontal="center"/>
    </xf>
    <xf numFmtId="4" fontId="0" fillId="33" borderId="0" xfId="0" applyNumberFormat="1" applyFill="1" applyBorder="1" applyAlignment="1">
      <alignment horizontal="center"/>
    </xf>
    <xf numFmtId="4" fontId="0" fillId="33" borderId="10" xfId="0" applyNumberFormat="1" applyFill="1" applyBorder="1" applyAlignment="1">
      <alignment horizontal="center"/>
    </xf>
    <xf numFmtId="4" fontId="0" fillId="33" borderId="8" xfId="0" applyNumberFormat="1" applyFill="1" applyBorder="1" applyAlignment="1">
      <alignment horizontal="center"/>
    </xf>
    <xf numFmtId="4" fontId="0" fillId="33" borderId="11" xfId="0" applyNumberFormat="1" applyFill="1" applyBorder="1" applyAlignment="1">
      <alignment horizontal="center"/>
    </xf>
    <xf numFmtId="4" fontId="0" fillId="33" borderId="7" xfId="0" applyNumberFormat="1" applyFill="1" applyBorder="1" applyAlignment="1">
      <alignment horizontal="center"/>
    </xf>
    <xf numFmtId="4" fontId="0" fillId="0" borderId="8" xfId="0" applyNumberFormat="1" applyFill="1" applyBorder="1" applyAlignment="1">
      <alignment horizontal="center"/>
    </xf>
    <xf numFmtId="4" fontId="0" fillId="33" borderId="1" xfId="0" applyNumberFormat="1" applyFill="1" applyBorder="1" applyAlignment="1">
      <alignment horizontal="center"/>
    </xf>
    <xf numFmtId="4" fontId="0" fillId="33" borderId="9" xfId="0" applyNumberFormat="1" applyFill="1" applyBorder="1" applyAlignment="1">
      <alignment horizontal="center"/>
    </xf>
    <xf numFmtId="0" fontId="0" fillId="0" borderId="0" xfId="0" applyFill="1" applyBorder="1" applyAlignment="1">
      <alignment horizontal="center"/>
    </xf>
    <xf numFmtId="4" fontId="0" fillId="0" borderId="0" xfId="0" applyNumberFormat="1" applyFill="1" applyBorder="1" applyAlignment="1">
      <alignment horizontal="center"/>
    </xf>
    <xf numFmtId="0" fontId="0" fillId="33" borderId="7" xfId="0" applyFill="1" applyBorder="1" applyAlignment="1">
      <alignment wrapText="1"/>
    </xf>
    <xf numFmtId="0" fontId="0" fillId="33" borderId="5" xfId="0" applyFill="1" applyBorder="1" applyAlignment="1">
      <alignment horizontal="left"/>
    </xf>
    <xf numFmtId="0" fontId="0" fillId="33" borderId="7" xfId="0" applyFill="1" applyBorder="1" applyAlignment="1">
      <alignment horizontal="left"/>
    </xf>
    <xf numFmtId="0" fontId="0" fillId="33" borderId="7" xfId="0" applyFill="1" applyBorder="1" applyAlignment="1">
      <alignment horizontal="center" vertical="center" wrapText="1"/>
    </xf>
    <xf numFmtId="0" fontId="0" fillId="33" borderId="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 xfId="0" applyFill="1" applyBorder="1" applyAlignment="1">
      <alignment horizontal="left"/>
    </xf>
    <xf numFmtId="0" fontId="0" fillId="33" borderId="8" xfId="0" applyFill="1" applyBorder="1" applyAlignment="1">
      <alignment horizontal="left"/>
    </xf>
    <xf numFmtId="0" fontId="0" fillId="33" borderId="5" xfId="0" applyFill="1" applyBorder="1" applyAlignment="1">
      <alignment horizontal="center" vertical="center" wrapText="1"/>
    </xf>
    <xf numFmtId="0" fontId="0" fillId="33" borderId="9" xfId="0" applyFill="1" applyBorder="1" applyAlignment="1">
      <alignment horizontal="center" vertical="center" wrapText="1"/>
    </xf>
    <xf numFmtId="0" fontId="0" fillId="33" borderId="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ill="1" applyBorder="1" applyAlignment="1">
      <alignment horizontal="left"/>
    </xf>
    <xf numFmtId="0" fontId="0" fillId="0" borderId="0" xfId="0" applyFill="1" applyBorder="1" applyAlignment="1">
      <alignment horizontal="left" wrapText="1"/>
    </xf>
    <xf numFmtId="0" fontId="0" fillId="33" borderId="5" xfId="0" applyFill="1" applyBorder="1" applyAlignment="1">
      <alignment horizontal="left" vertical="center" wrapText="1"/>
    </xf>
    <xf numFmtId="0" fontId="0" fillId="33" borderId="1" xfId="0" applyFill="1" applyBorder="1" applyAlignment="1">
      <alignment horizontal="left" vertical="center" wrapText="1"/>
    </xf>
    <xf numFmtId="0" fontId="0" fillId="33" borderId="9" xfId="0" applyFill="1" applyBorder="1" applyAlignment="1">
      <alignment horizontal="left" vertical="center" wrapText="1"/>
    </xf>
    <xf numFmtId="0" fontId="0" fillId="33" borderId="0" xfId="0" applyFill="1" applyBorder="1" applyAlignment="1">
      <alignment horizontal="center" vertical="center" wrapText="1"/>
    </xf>
    <xf numFmtId="0" fontId="0" fillId="33" borderId="1" xfId="0" applyFill="1" applyBorder="1" applyAlignment="1">
      <alignment horizontal="center" vertical="center" wrapText="1"/>
    </xf>
    <xf numFmtId="0" fontId="0" fillId="33" borderId="9" xfId="0" applyFill="1" applyBorder="1" applyAlignment="1">
      <alignment horizontal="left"/>
    </xf>
    <xf numFmtId="0" fontId="0" fillId="33" borderId="11" xfId="0" applyFill="1"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7401"/>
      <color rgb="FF16FC04"/>
      <color rgb="FFFFC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6" sqref="D16"/>
    </sheetView>
  </sheetViews>
  <sheetFormatPr defaultRowHeight="15" x14ac:dyDescent="0.25"/>
  <cols>
    <col min="1" max="1" width="19.85546875" customWidth="1"/>
    <col min="3" max="3" width="22.425781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1" workbookViewId="0">
      <selection activeCell="D16" sqref="D1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84"/>
  <sheetViews>
    <sheetView topLeftCell="A21" zoomScale="85" zoomScaleNormal="85" workbookViewId="0">
      <selection activeCell="D16" sqref="D16"/>
    </sheetView>
  </sheetViews>
  <sheetFormatPr defaultRowHeight="15" x14ac:dyDescent="0.25"/>
  <cols>
    <col min="1" max="1" width="27.140625" customWidth="1"/>
    <col min="2" max="2" width="38" customWidth="1"/>
    <col min="3" max="3" width="19.7109375" customWidth="1"/>
    <col min="4" max="4" width="16.140625" bestFit="1" customWidth="1"/>
    <col min="5" max="5" width="24.5703125" bestFit="1" customWidth="1"/>
    <col min="6" max="6" width="30.5703125" customWidth="1"/>
    <col min="7" max="7" width="14.85546875" customWidth="1"/>
    <col min="8" max="9" width="15.5703125" customWidth="1"/>
    <col min="10" max="10" width="18.28515625" customWidth="1"/>
    <col min="11" max="11" width="12.140625" customWidth="1"/>
    <col min="13" max="13" width="45.85546875" style="15" customWidth="1"/>
  </cols>
  <sheetData>
    <row r="1" spans="1:13" x14ac:dyDescent="0.25">
      <c r="M1" s="14" t="s">
        <v>6</v>
      </c>
    </row>
    <row r="2" spans="1:13" ht="18.75" x14ac:dyDescent="0.3">
      <c r="A2" s="3" t="s">
        <v>13</v>
      </c>
      <c r="B2" s="3"/>
    </row>
    <row r="3" spans="1:13" ht="18.75" x14ac:dyDescent="0.3">
      <c r="A3" s="2"/>
      <c r="B3" s="2"/>
      <c r="M3" s="14"/>
    </row>
    <row r="4" spans="1:13" ht="15.75" x14ac:dyDescent="0.25">
      <c r="A4" s="1" t="s">
        <v>15</v>
      </c>
      <c r="B4" s="1"/>
      <c r="M4" s="14"/>
    </row>
    <row r="5" spans="1:13" ht="15.75" x14ac:dyDescent="0.25">
      <c r="A5" s="1" t="s">
        <v>16</v>
      </c>
      <c r="B5" s="1"/>
      <c r="M5" s="14"/>
    </row>
    <row r="6" spans="1:13" x14ac:dyDescent="0.25">
      <c r="M6" s="14"/>
    </row>
    <row r="7" spans="1:13" x14ac:dyDescent="0.25">
      <c r="B7" t="s">
        <v>27</v>
      </c>
      <c r="M7" s="14"/>
    </row>
    <row r="8" spans="1:13" x14ac:dyDescent="0.25">
      <c r="A8" t="s">
        <v>14</v>
      </c>
      <c r="B8" t="s">
        <v>19</v>
      </c>
      <c r="C8" t="s">
        <v>20</v>
      </c>
      <c r="D8" t="s">
        <v>21</v>
      </c>
      <c r="E8" t="s">
        <v>22</v>
      </c>
      <c r="F8" t="s">
        <v>23</v>
      </c>
      <c r="G8" t="s">
        <v>24</v>
      </c>
      <c r="H8" t="s">
        <v>25</v>
      </c>
      <c r="J8" t="s">
        <v>26</v>
      </c>
      <c r="M8" s="14"/>
    </row>
    <row r="9" spans="1:13" x14ac:dyDescent="0.25">
      <c r="A9">
        <v>2008</v>
      </c>
      <c r="M9" s="14" t="s">
        <v>17</v>
      </c>
    </row>
    <row r="10" spans="1:13" ht="30" x14ac:dyDescent="0.25">
      <c r="A10">
        <v>2009</v>
      </c>
      <c r="M10" s="14" t="s">
        <v>183</v>
      </c>
    </row>
    <row r="11" spans="1:13" ht="75" x14ac:dyDescent="0.25">
      <c r="A11">
        <v>2010</v>
      </c>
      <c r="M11" s="16" t="s">
        <v>182</v>
      </c>
    </row>
    <row r="12" spans="1:13" x14ac:dyDescent="0.25">
      <c r="A12">
        <v>2011</v>
      </c>
      <c r="M12" s="14"/>
    </row>
    <row r="13" spans="1:13" x14ac:dyDescent="0.25">
      <c r="M13" s="14"/>
    </row>
    <row r="14" spans="1:13" ht="18.75" x14ac:dyDescent="0.3">
      <c r="A14" s="3" t="s">
        <v>96</v>
      </c>
      <c r="B14" s="3"/>
      <c r="M14" s="14"/>
    </row>
    <row r="15" spans="1:13" x14ac:dyDescent="0.25">
      <c r="M15" s="14"/>
    </row>
    <row r="16" spans="1:13" x14ac:dyDescent="0.25">
      <c r="E16" t="s">
        <v>5</v>
      </c>
      <c r="M16" s="14"/>
    </row>
    <row r="17" spans="1:13" x14ac:dyDescent="0.25">
      <c r="A17" t="s">
        <v>14</v>
      </c>
      <c r="B17" t="s">
        <v>30</v>
      </c>
      <c r="C17" t="s">
        <v>28</v>
      </c>
      <c r="E17" t="e">
        <f>#REF!</f>
        <v>#REF!</v>
      </c>
      <c r="F17" t="s">
        <v>7</v>
      </c>
      <c r="M17" s="14" t="s">
        <v>8</v>
      </c>
    </row>
    <row r="18" spans="1:13" ht="45" x14ac:dyDescent="0.25">
      <c r="A18">
        <v>2012</v>
      </c>
      <c r="B18" t="s">
        <v>29</v>
      </c>
      <c r="C18" t="s">
        <v>167</v>
      </c>
      <c r="D18">
        <v>400</v>
      </c>
      <c r="E18" t="e">
        <f>#REF!</f>
        <v>#REF!</v>
      </c>
      <c r="F18" t="e">
        <f>D18*E18</f>
        <v>#REF!</v>
      </c>
      <c r="G18" t="s">
        <v>9</v>
      </c>
      <c r="M18" s="14" t="s">
        <v>11</v>
      </c>
    </row>
    <row r="19" spans="1:13" ht="45" x14ac:dyDescent="0.25">
      <c r="B19" t="s">
        <v>168</v>
      </c>
      <c r="M19" s="14" t="s">
        <v>184</v>
      </c>
    </row>
    <row r="20" spans="1:13" x14ac:dyDescent="0.25">
      <c r="M20" s="14" t="s">
        <v>12</v>
      </c>
    </row>
    <row r="21" spans="1:13" ht="18.75" x14ac:dyDescent="0.3">
      <c r="A21" s="3" t="s">
        <v>0</v>
      </c>
      <c r="B21" s="3"/>
      <c r="C21" t="s">
        <v>18</v>
      </c>
      <c r="M21" s="14" t="s">
        <v>123</v>
      </c>
    </row>
    <row r="22" spans="1:13" ht="30" x14ac:dyDescent="0.25">
      <c r="M22" s="14" t="s">
        <v>185</v>
      </c>
    </row>
    <row r="23" spans="1:13" ht="30" x14ac:dyDescent="0.25">
      <c r="A23" t="s">
        <v>99</v>
      </c>
      <c r="M23" s="14" t="s">
        <v>186</v>
      </c>
    </row>
    <row r="24" spans="1:13" ht="30" x14ac:dyDescent="0.25">
      <c r="M24" s="16" t="s">
        <v>187</v>
      </c>
    </row>
    <row r="25" spans="1:13" x14ac:dyDescent="0.25">
      <c r="M25" s="14"/>
    </row>
    <row r="26" spans="1:13" ht="18.75" x14ac:dyDescent="0.3">
      <c r="A26" s="3" t="s">
        <v>1</v>
      </c>
      <c r="B26" s="4" t="s">
        <v>34</v>
      </c>
      <c r="M26" s="14"/>
    </row>
    <row r="27" spans="1:13" x14ac:dyDescent="0.25">
      <c r="A27" t="s">
        <v>14</v>
      </c>
      <c r="B27" s="17" t="s">
        <v>192</v>
      </c>
      <c r="M27" s="14"/>
    </row>
    <row r="28" spans="1:13" ht="18.75" x14ac:dyDescent="0.3">
      <c r="A28" s="9">
        <v>2012</v>
      </c>
      <c r="B28" t="s">
        <v>30</v>
      </c>
      <c r="C28" t="s">
        <v>166</v>
      </c>
      <c r="D28" t="s">
        <v>163</v>
      </c>
      <c r="E28" t="s">
        <v>164</v>
      </c>
      <c r="F28" t="s">
        <v>5</v>
      </c>
      <c r="G28" t="s">
        <v>28</v>
      </c>
      <c r="J28" t="s">
        <v>177</v>
      </c>
      <c r="M28" s="14"/>
    </row>
    <row r="29" spans="1:13" x14ac:dyDescent="0.25">
      <c r="A29" s="11" t="s">
        <v>141</v>
      </c>
      <c r="B29" s="4" t="s">
        <v>142</v>
      </c>
      <c r="M29" s="14" t="s">
        <v>179</v>
      </c>
    </row>
    <row r="30" spans="1:13" x14ac:dyDescent="0.25">
      <c r="A30" s="11"/>
      <c r="B30" s="4" t="s">
        <v>143</v>
      </c>
      <c r="M30" s="14"/>
    </row>
    <row r="31" spans="1:13" x14ac:dyDescent="0.25">
      <c r="A31" s="11"/>
      <c r="B31" s="4" t="s">
        <v>144</v>
      </c>
      <c r="M31" s="14"/>
    </row>
    <row r="32" spans="1:13" x14ac:dyDescent="0.25">
      <c r="A32" s="11"/>
      <c r="B32" s="4" t="s">
        <v>145</v>
      </c>
      <c r="M32" s="14"/>
    </row>
    <row r="33" spans="1:13" x14ac:dyDescent="0.25">
      <c r="B33" s="4"/>
      <c r="M33" s="14"/>
    </row>
    <row r="34" spans="1:13" x14ac:dyDescent="0.25">
      <c r="A34" s="11" t="s">
        <v>146</v>
      </c>
      <c r="B34" s="4" t="s">
        <v>147</v>
      </c>
      <c r="M34" s="14"/>
    </row>
    <row r="35" spans="1:13" x14ac:dyDescent="0.25">
      <c r="A35" s="11"/>
      <c r="B35" s="4" t="s">
        <v>148</v>
      </c>
      <c r="M35" s="14"/>
    </row>
    <row r="36" spans="1:13" x14ac:dyDescent="0.25">
      <c r="A36" s="11"/>
      <c r="B36" s="4" t="s">
        <v>149</v>
      </c>
      <c r="M36" s="14"/>
    </row>
    <row r="37" spans="1:13" x14ac:dyDescent="0.25">
      <c r="A37" s="11"/>
      <c r="B37" s="4"/>
      <c r="M37" s="14"/>
    </row>
    <row r="38" spans="1:13" x14ac:dyDescent="0.25">
      <c r="A38" s="11" t="s">
        <v>150</v>
      </c>
      <c r="B38" s="4" t="s">
        <v>151</v>
      </c>
      <c r="M38" s="14"/>
    </row>
    <row r="39" spans="1:13" x14ac:dyDescent="0.25">
      <c r="A39" s="11"/>
      <c r="B39" s="4" t="s">
        <v>152</v>
      </c>
      <c r="M39" s="14"/>
    </row>
    <row r="40" spans="1:13" x14ac:dyDescent="0.25">
      <c r="A40" s="11"/>
      <c r="B40" s="4" t="s">
        <v>153</v>
      </c>
      <c r="M40" s="14"/>
    </row>
    <row r="41" spans="1:13" x14ac:dyDescent="0.25">
      <c r="A41" s="11"/>
      <c r="B41" s="4" t="s">
        <v>154</v>
      </c>
      <c r="M41" s="14"/>
    </row>
    <row r="42" spans="1:13" x14ac:dyDescent="0.25">
      <c r="A42" s="11"/>
      <c r="B42" s="4"/>
      <c r="M42" s="14"/>
    </row>
    <row r="43" spans="1:13" x14ac:dyDescent="0.25">
      <c r="A43" s="13" t="s">
        <v>155</v>
      </c>
      <c r="B43" s="4" t="s">
        <v>156</v>
      </c>
      <c r="M43" s="14"/>
    </row>
    <row r="44" spans="1:13" x14ac:dyDescent="0.25">
      <c r="A44" s="11"/>
      <c r="B44" s="4" t="s">
        <v>157</v>
      </c>
      <c r="M44" s="14"/>
    </row>
    <row r="45" spans="1:13" x14ac:dyDescent="0.25">
      <c r="A45" s="11"/>
      <c r="B45" s="4" t="s">
        <v>158</v>
      </c>
      <c r="M45" s="14"/>
    </row>
    <row r="46" spans="1:13" x14ac:dyDescent="0.25">
      <c r="A46" s="11"/>
      <c r="B46" s="4"/>
      <c r="M46" s="14"/>
    </row>
    <row r="47" spans="1:13" x14ac:dyDescent="0.25">
      <c r="A47" s="13" t="s">
        <v>159</v>
      </c>
      <c r="B47" s="4" t="s">
        <v>160</v>
      </c>
      <c r="M47" s="14"/>
    </row>
    <row r="48" spans="1:13" x14ac:dyDescent="0.25">
      <c r="A48" s="12"/>
      <c r="B48" s="4" t="s">
        <v>161</v>
      </c>
      <c r="M48" s="14"/>
    </row>
    <row r="49" spans="1:13" x14ac:dyDescent="0.25">
      <c r="B49" s="4"/>
      <c r="M49" s="14"/>
    </row>
    <row r="50" spans="1:13" x14ac:dyDescent="0.25">
      <c r="A50" s="13" t="s">
        <v>162</v>
      </c>
      <c r="B50" s="4"/>
      <c r="M50" s="14"/>
    </row>
    <row r="51" spans="1:13" x14ac:dyDescent="0.25">
      <c r="A51" s="12"/>
      <c r="B51" s="4"/>
      <c r="M51" s="14"/>
    </row>
    <row r="52" spans="1:13" x14ac:dyDescent="0.25">
      <c r="A52" s="12" t="s">
        <v>25</v>
      </c>
      <c r="B52" s="4"/>
      <c r="M52" s="14"/>
    </row>
    <row r="53" spans="1:13" x14ac:dyDescent="0.25">
      <c r="A53" s="13"/>
      <c r="B53" s="4"/>
      <c r="M53" s="14"/>
    </row>
    <row r="54" spans="1:13" ht="30" x14ac:dyDescent="0.25">
      <c r="A54" s="13" t="s">
        <v>169</v>
      </c>
      <c r="C54" t="s">
        <v>172</v>
      </c>
      <c r="D54" t="s">
        <v>170</v>
      </c>
      <c r="E54" t="s">
        <v>171</v>
      </c>
      <c r="F54" t="s">
        <v>176</v>
      </c>
      <c r="G54" t="s">
        <v>137</v>
      </c>
      <c r="H54" t="s">
        <v>5</v>
      </c>
      <c r="J54" t="s">
        <v>177</v>
      </c>
      <c r="M54" s="14" t="s">
        <v>188</v>
      </c>
    </row>
    <row r="55" spans="1:13" x14ac:dyDescent="0.25">
      <c r="A55" s="13"/>
      <c r="M55" s="14"/>
    </row>
    <row r="56" spans="1:13" x14ac:dyDescent="0.25">
      <c r="A56" s="13" t="s">
        <v>173</v>
      </c>
      <c r="G56" t="s">
        <v>136</v>
      </c>
      <c r="H56" t="e">
        <f>#REF!</f>
        <v>#REF!</v>
      </c>
      <c r="I56" t="e">
        <f>#REF!</f>
        <v>#REF!</v>
      </c>
      <c r="M56" s="14"/>
    </row>
    <row r="57" spans="1:13" x14ac:dyDescent="0.25">
      <c r="A57" s="13"/>
      <c r="B57" s="4"/>
      <c r="G57" t="s">
        <v>174</v>
      </c>
      <c r="H57" t="e">
        <f>#REF!</f>
        <v>#REF!</v>
      </c>
      <c r="I57" t="e">
        <f>#REF!</f>
        <v>#REF!</v>
      </c>
      <c r="M57" s="14"/>
    </row>
    <row r="58" spans="1:13" x14ac:dyDescent="0.25">
      <c r="A58" s="12"/>
      <c r="B58" s="4"/>
      <c r="G58" t="s">
        <v>175</v>
      </c>
      <c r="H58" s="10" t="e">
        <f>#REF!</f>
        <v>#REF!</v>
      </c>
      <c r="I58" t="e">
        <f>#REF!</f>
        <v>#REF!</v>
      </c>
      <c r="M58" s="14"/>
    </row>
    <row r="59" spans="1:13" x14ac:dyDescent="0.25">
      <c r="A59" s="12"/>
      <c r="B59" s="4"/>
      <c r="M59" s="14"/>
    </row>
    <row r="60" spans="1:13" ht="18.75" x14ac:dyDescent="0.3">
      <c r="A60" s="9"/>
      <c r="C60" t="s">
        <v>28</v>
      </c>
      <c r="D60" t="s">
        <v>93</v>
      </c>
      <c r="E60" t="s">
        <v>5</v>
      </c>
      <c r="F60" t="s">
        <v>28</v>
      </c>
      <c r="G60" t="s">
        <v>178</v>
      </c>
      <c r="J60" t="s">
        <v>177</v>
      </c>
      <c r="M60" s="14"/>
    </row>
    <row r="61" spans="1:13" x14ac:dyDescent="0.25">
      <c r="A61" t="s">
        <v>165</v>
      </c>
      <c r="B61" t="s">
        <v>31</v>
      </c>
      <c r="C61" t="s">
        <v>35</v>
      </c>
      <c r="D61">
        <v>1000</v>
      </c>
      <c r="E61" t="e">
        <f>#REF!</f>
        <v>#REF!</v>
      </c>
      <c r="F61" t="e">
        <f>#REF!</f>
        <v>#REF!</v>
      </c>
      <c r="J61" t="e">
        <f>D61*E61</f>
        <v>#REF!</v>
      </c>
      <c r="M61" s="14"/>
    </row>
    <row r="62" spans="1:13" x14ac:dyDescent="0.25">
      <c r="B62" t="s">
        <v>32</v>
      </c>
      <c r="C62" t="s">
        <v>97</v>
      </c>
      <c r="E62" t="e">
        <f>#REF!</f>
        <v>#REF!</v>
      </c>
      <c r="F62" t="e">
        <f>#REF!</f>
        <v>#REF!</v>
      </c>
      <c r="J62" t="e">
        <f t="shared" ref="J62:J65" si="0">D62*E62</f>
        <v>#REF!</v>
      </c>
      <c r="M62" s="14"/>
    </row>
    <row r="63" spans="1:13" x14ac:dyDescent="0.25">
      <c r="B63" t="s">
        <v>33</v>
      </c>
      <c r="C63" t="s">
        <v>97</v>
      </c>
      <c r="E63" s="10" t="e">
        <f>#REF!</f>
        <v>#REF!</v>
      </c>
      <c r="F63" t="e">
        <f>#REF!</f>
        <v>#REF!</v>
      </c>
      <c r="J63" t="e">
        <f t="shared" si="0"/>
        <v>#REF!</v>
      </c>
      <c r="M63" s="14"/>
    </row>
    <row r="64" spans="1:13" x14ac:dyDescent="0.25">
      <c r="B64" t="s">
        <v>94</v>
      </c>
      <c r="C64" t="s">
        <v>36</v>
      </c>
      <c r="E64" s="10" t="e">
        <f>#REF!</f>
        <v>#REF!</v>
      </c>
      <c r="F64" t="e">
        <f>#REF!</f>
        <v>#REF!</v>
      </c>
      <c r="J64" t="e">
        <f t="shared" si="0"/>
        <v>#REF!</v>
      </c>
      <c r="M64" s="14"/>
    </row>
    <row r="65" spans="1:13" x14ac:dyDescent="0.25">
      <c r="B65" t="s">
        <v>95</v>
      </c>
      <c r="C65" t="s">
        <v>97</v>
      </c>
      <c r="E65" s="10" t="e">
        <f>#REF!</f>
        <v>#REF!</v>
      </c>
      <c r="F65" t="e">
        <f>#REF!</f>
        <v>#REF!</v>
      </c>
      <c r="J65" t="e">
        <f t="shared" si="0"/>
        <v>#REF!</v>
      </c>
      <c r="M65" s="14"/>
    </row>
    <row r="66" spans="1:13" x14ac:dyDescent="0.25">
      <c r="M66" s="14"/>
    </row>
    <row r="67" spans="1:13" x14ac:dyDescent="0.25">
      <c r="M67" s="14"/>
    </row>
    <row r="68" spans="1:13" x14ac:dyDescent="0.25">
      <c r="G68" t="s">
        <v>5</v>
      </c>
      <c r="M68" s="14"/>
    </row>
    <row r="69" spans="1:13" x14ac:dyDescent="0.25">
      <c r="C69" t="s">
        <v>64</v>
      </c>
      <c r="D69" t="s">
        <v>63</v>
      </c>
      <c r="E69" t="s">
        <v>65</v>
      </c>
      <c r="F69" t="s">
        <v>102</v>
      </c>
      <c r="G69" t="e">
        <f>#REF!</f>
        <v>#REF!</v>
      </c>
      <c r="J69" t="s">
        <v>177</v>
      </c>
      <c r="M69" s="14"/>
    </row>
    <row r="70" spans="1:13" x14ac:dyDescent="0.25">
      <c r="A70" t="s">
        <v>37</v>
      </c>
      <c r="B70" s="5" t="s">
        <v>39</v>
      </c>
      <c r="C70">
        <v>1000</v>
      </c>
      <c r="D70">
        <v>2</v>
      </c>
      <c r="E70">
        <v>4</v>
      </c>
      <c r="F70">
        <f>E70*D70*C70</f>
        <v>8000</v>
      </c>
      <c r="G70" t="e">
        <f>#REF!</f>
        <v>#REF!</v>
      </c>
      <c r="J70" t="e">
        <f>G70*F70</f>
        <v>#REF!</v>
      </c>
      <c r="M70" s="14" t="s">
        <v>180</v>
      </c>
    </row>
    <row r="71" spans="1:13" ht="30" x14ac:dyDescent="0.25">
      <c r="B71" s="5" t="s">
        <v>40</v>
      </c>
      <c r="G71" t="e">
        <f>G70</f>
        <v>#REF!</v>
      </c>
      <c r="M71" s="14" t="s">
        <v>181</v>
      </c>
    </row>
    <row r="72" spans="1:13" x14ac:dyDescent="0.25">
      <c r="B72" s="5" t="s">
        <v>41</v>
      </c>
      <c r="G72" t="e">
        <f t="shared" ref="G72:G93" si="1">G71</f>
        <v>#REF!</v>
      </c>
      <c r="M72" s="14"/>
    </row>
    <row r="73" spans="1:13" x14ac:dyDescent="0.25">
      <c r="B73" s="5" t="s">
        <v>42</v>
      </c>
      <c r="G73" t="e">
        <f t="shared" si="1"/>
        <v>#REF!</v>
      </c>
      <c r="M73" s="14"/>
    </row>
    <row r="74" spans="1:13" x14ac:dyDescent="0.25">
      <c r="B74" s="5" t="s">
        <v>43</v>
      </c>
      <c r="G74" t="e">
        <f t="shared" si="1"/>
        <v>#REF!</v>
      </c>
      <c r="M74" s="14"/>
    </row>
    <row r="75" spans="1:13" x14ac:dyDescent="0.25">
      <c r="B75" s="5" t="s">
        <v>44</v>
      </c>
      <c r="G75" t="e">
        <f t="shared" si="1"/>
        <v>#REF!</v>
      </c>
      <c r="M75" s="14"/>
    </row>
    <row r="76" spans="1:13" x14ac:dyDescent="0.25">
      <c r="B76" s="5" t="s">
        <v>45</v>
      </c>
      <c r="G76" t="e">
        <f t="shared" si="1"/>
        <v>#REF!</v>
      </c>
      <c r="M76" s="14"/>
    </row>
    <row r="77" spans="1:13" x14ac:dyDescent="0.25">
      <c r="B77" s="5" t="s">
        <v>46</v>
      </c>
      <c r="G77" t="e">
        <f t="shared" si="1"/>
        <v>#REF!</v>
      </c>
      <c r="M77" s="14"/>
    </row>
    <row r="78" spans="1:13" x14ac:dyDescent="0.25">
      <c r="B78" s="5" t="s">
        <v>47</v>
      </c>
      <c r="G78" t="e">
        <f t="shared" si="1"/>
        <v>#REF!</v>
      </c>
      <c r="M78" s="14"/>
    </row>
    <row r="79" spans="1:13" x14ac:dyDescent="0.25">
      <c r="B79" s="5" t="s">
        <v>48</v>
      </c>
      <c r="G79" t="e">
        <f t="shared" si="1"/>
        <v>#REF!</v>
      </c>
      <c r="M79" s="14"/>
    </row>
    <row r="80" spans="1:13" x14ac:dyDescent="0.25">
      <c r="B80" s="5" t="s">
        <v>49</v>
      </c>
      <c r="G80" t="e">
        <f t="shared" si="1"/>
        <v>#REF!</v>
      </c>
      <c r="M80" s="14"/>
    </row>
    <row r="81" spans="2:13" x14ac:dyDescent="0.25">
      <c r="B81" s="5" t="s">
        <v>50</v>
      </c>
      <c r="G81" t="e">
        <f t="shared" si="1"/>
        <v>#REF!</v>
      </c>
      <c r="M81" s="14"/>
    </row>
    <row r="82" spans="2:13" x14ac:dyDescent="0.25">
      <c r="B82" s="5" t="s">
        <v>51</v>
      </c>
      <c r="G82" t="e">
        <f t="shared" si="1"/>
        <v>#REF!</v>
      </c>
      <c r="M82" s="14"/>
    </row>
    <row r="83" spans="2:13" x14ac:dyDescent="0.25">
      <c r="B83" s="5" t="s">
        <v>52</v>
      </c>
      <c r="G83" t="e">
        <f t="shared" si="1"/>
        <v>#REF!</v>
      </c>
      <c r="M83" s="14"/>
    </row>
    <row r="84" spans="2:13" x14ac:dyDescent="0.25">
      <c r="B84" s="5" t="s">
        <v>53</v>
      </c>
      <c r="G84" t="e">
        <f t="shared" si="1"/>
        <v>#REF!</v>
      </c>
      <c r="M84" s="14"/>
    </row>
    <row r="85" spans="2:13" x14ac:dyDescent="0.25">
      <c r="B85" s="5" t="s">
        <v>54</v>
      </c>
      <c r="G85" t="e">
        <f t="shared" si="1"/>
        <v>#REF!</v>
      </c>
      <c r="M85" s="14"/>
    </row>
    <row r="86" spans="2:13" x14ac:dyDescent="0.25">
      <c r="B86" s="5" t="s">
        <v>55</v>
      </c>
      <c r="G86" t="e">
        <f t="shared" si="1"/>
        <v>#REF!</v>
      </c>
      <c r="M86" s="14"/>
    </row>
    <row r="87" spans="2:13" x14ac:dyDescent="0.25">
      <c r="B87" s="5" t="s">
        <v>56</v>
      </c>
      <c r="G87" t="e">
        <f t="shared" si="1"/>
        <v>#REF!</v>
      </c>
      <c r="M87" s="14"/>
    </row>
    <row r="88" spans="2:13" x14ac:dyDescent="0.25">
      <c r="B88" s="5" t="s">
        <v>57</v>
      </c>
      <c r="G88" t="e">
        <f t="shared" si="1"/>
        <v>#REF!</v>
      </c>
      <c r="M88" s="14"/>
    </row>
    <row r="89" spans="2:13" x14ac:dyDescent="0.25">
      <c r="B89" s="5" t="s">
        <v>58</v>
      </c>
      <c r="G89" t="e">
        <f t="shared" si="1"/>
        <v>#REF!</v>
      </c>
      <c r="M89" s="14"/>
    </row>
    <row r="90" spans="2:13" x14ac:dyDescent="0.25">
      <c r="B90" s="5" t="s">
        <v>59</v>
      </c>
      <c r="G90" t="e">
        <f t="shared" si="1"/>
        <v>#REF!</v>
      </c>
      <c r="M90" s="14"/>
    </row>
    <row r="91" spans="2:13" x14ac:dyDescent="0.25">
      <c r="B91" s="5" t="s">
        <v>60</v>
      </c>
      <c r="G91" t="e">
        <f t="shared" si="1"/>
        <v>#REF!</v>
      </c>
      <c r="M91" s="14"/>
    </row>
    <row r="92" spans="2:13" x14ac:dyDescent="0.25">
      <c r="B92" s="5" t="s">
        <v>61</v>
      </c>
      <c r="G92" t="e">
        <f t="shared" si="1"/>
        <v>#REF!</v>
      </c>
      <c r="M92" s="14"/>
    </row>
    <row r="93" spans="2:13" x14ac:dyDescent="0.25">
      <c r="B93" s="5" t="s">
        <v>62</v>
      </c>
      <c r="G93" t="e">
        <f t="shared" si="1"/>
        <v>#REF!</v>
      </c>
      <c r="M93" s="14"/>
    </row>
    <row r="94" spans="2:13" x14ac:dyDescent="0.25">
      <c r="B94" s="5"/>
      <c r="M94" s="14"/>
    </row>
    <row r="95" spans="2:13" x14ac:dyDescent="0.25">
      <c r="B95" s="5"/>
      <c r="G95" t="s">
        <v>5</v>
      </c>
      <c r="M95" s="14"/>
    </row>
    <row r="96" spans="2:13" x14ac:dyDescent="0.25">
      <c r="B96" s="5"/>
      <c r="C96" t="s">
        <v>64</v>
      </c>
      <c r="D96" t="s">
        <v>63</v>
      </c>
      <c r="E96" t="s">
        <v>65</v>
      </c>
      <c r="F96" t="s">
        <v>102</v>
      </c>
      <c r="G96" t="e">
        <f>#REF!</f>
        <v>#REF!</v>
      </c>
      <c r="J96" t="s">
        <v>177</v>
      </c>
      <c r="M96" s="14"/>
    </row>
    <row r="97" spans="1:13" x14ac:dyDescent="0.25">
      <c r="A97" t="s">
        <v>66</v>
      </c>
      <c r="B97" s="6" t="s">
        <v>67</v>
      </c>
      <c r="C97">
        <v>1000</v>
      </c>
      <c r="D97">
        <v>2</v>
      </c>
      <c r="E97">
        <v>4</v>
      </c>
      <c r="F97">
        <f>E97*D97*C97</f>
        <v>8000</v>
      </c>
      <c r="G97" t="e">
        <f>#REF!</f>
        <v>#REF!</v>
      </c>
      <c r="J97" t="e">
        <f>G97*F97</f>
        <v>#REF!</v>
      </c>
      <c r="M97" s="14"/>
    </row>
    <row r="98" spans="1:13" x14ac:dyDescent="0.25">
      <c r="B98" s="6" t="s">
        <v>68</v>
      </c>
      <c r="M98" s="14"/>
    </row>
    <row r="99" spans="1:13" x14ac:dyDescent="0.25">
      <c r="B99" s="6" t="s">
        <v>69</v>
      </c>
      <c r="M99" s="14"/>
    </row>
    <row r="100" spans="1:13" x14ac:dyDescent="0.25">
      <c r="B100" s="6" t="s">
        <v>70</v>
      </c>
      <c r="M100" s="14"/>
    </row>
    <row r="101" spans="1:13" x14ac:dyDescent="0.25">
      <c r="B101" s="6" t="s">
        <v>71</v>
      </c>
      <c r="M101" s="14"/>
    </row>
    <row r="102" spans="1:13" x14ac:dyDescent="0.25">
      <c r="B102" s="6" t="s">
        <v>72</v>
      </c>
      <c r="M102" s="14"/>
    </row>
    <row r="103" spans="1:13" x14ac:dyDescent="0.25">
      <c r="B103" s="6" t="s">
        <v>73</v>
      </c>
      <c r="M103" s="14"/>
    </row>
    <row r="104" spans="1:13" x14ac:dyDescent="0.25">
      <c r="B104" s="6" t="s">
        <v>74</v>
      </c>
      <c r="M104" s="14"/>
    </row>
    <row r="105" spans="1:13" x14ac:dyDescent="0.25">
      <c r="B105" s="6" t="s">
        <v>75</v>
      </c>
      <c r="M105" s="14"/>
    </row>
    <row r="106" spans="1:13" x14ac:dyDescent="0.25">
      <c r="B106" s="6"/>
      <c r="M106" s="14"/>
    </row>
    <row r="107" spans="1:13" x14ac:dyDescent="0.25">
      <c r="G107" t="s">
        <v>5</v>
      </c>
      <c r="M107" s="14"/>
    </row>
    <row r="108" spans="1:13" x14ac:dyDescent="0.25">
      <c r="C108" t="s">
        <v>64</v>
      </c>
      <c r="D108" t="s">
        <v>63</v>
      </c>
      <c r="E108" t="s">
        <v>65</v>
      </c>
      <c r="F108" t="s">
        <v>102</v>
      </c>
      <c r="G108" t="e">
        <f>#REF!</f>
        <v>#REF!</v>
      </c>
      <c r="J108" t="s">
        <v>177</v>
      </c>
      <c r="M108" s="14"/>
    </row>
    <row r="109" spans="1:13" x14ac:dyDescent="0.25">
      <c r="A109" t="s">
        <v>76</v>
      </c>
      <c r="B109" s="7" t="s">
        <v>77</v>
      </c>
      <c r="C109">
        <v>1000</v>
      </c>
      <c r="D109">
        <v>2</v>
      </c>
      <c r="E109">
        <v>4</v>
      </c>
      <c r="F109">
        <f>E109*D109*C109</f>
        <v>8000</v>
      </c>
      <c r="G109" t="e">
        <f>#REF!</f>
        <v>#REF!</v>
      </c>
      <c r="J109" t="e">
        <f>G109*F109</f>
        <v>#REF!</v>
      </c>
      <c r="M109" s="14"/>
    </row>
    <row r="110" spans="1:13" x14ac:dyDescent="0.25">
      <c r="B110" s="7" t="s">
        <v>78</v>
      </c>
      <c r="M110" s="14"/>
    </row>
    <row r="111" spans="1:13" x14ac:dyDescent="0.25">
      <c r="B111" s="7" t="s">
        <v>79</v>
      </c>
      <c r="M111" s="14"/>
    </row>
    <row r="112" spans="1:13" x14ac:dyDescent="0.25">
      <c r="B112" s="7" t="s">
        <v>80</v>
      </c>
      <c r="M112" s="14"/>
    </row>
    <row r="113" spans="1:13" x14ac:dyDescent="0.25">
      <c r="B113" s="8"/>
      <c r="M113" s="14"/>
    </row>
    <row r="114" spans="1:13" x14ac:dyDescent="0.25">
      <c r="H114" t="s">
        <v>5</v>
      </c>
      <c r="M114" s="14"/>
    </row>
    <row r="115" spans="1:13" x14ac:dyDescent="0.25">
      <c r="C115" t="s">
        <v>64</v>
      </c>
      <c r="D115" t="s">
        <v>63</v>
      </c>
      <c r="E115" t="s">
        <v>65</v>
      </c>
      <c r="F115" t="s">
        <v>102</v>
      </c>
      <c r="G115" t="s">
        <v>92</v>
      </c>
      <c r="H115" t="e">
        <f>#REF!</f>
        <v>#REF!</v>
      </c>
      <c r="I115" t="s">
        <v>103</v>
      </c>
      <c r="J115" t="s">
        <v>177</v>
      </c>
      <c r="M115" s="14"/>
    </row>
    <row r="116" spans="1:13" x14ac:dyDescent="0.25">
      <c r="A116" t="s">
        <v>81</v>
      </c>
      <c r="B116" s="6" t="s">
        <v>82</v>
      </c>
      <c r="C116">
        <v>1000</v>
      </c>
      <c r="D116">
        <v>2</v>
      </c>
      <c r="E116">
        <v>4</v>
      </c>
      <c r="F116">
        <f>E116*D116*C116</f>
        <v>8000</v>
      </c>
      <c r="G116">
        <v>30</v>
      </c>
      <c r="H116" t="e">
        <f>#REF!</f>
        <v>#REF!</v>
      </c>
      <c r="I116">
        <f>F116*G116/100</f>
        <v>2400</v>
      </c>
      <c r="J116" t="e">
        <f>H116*F116*G116/100</f>
        <v>#REF!</v>
      </c>
      <c r="M116" s="14"/>
    </row>
    <row r="117" spans="1:13" x14ac:dyDescent="0.25">
      <c r="B117" s="6" t="s">
        <v>83</v>
      </c>
      <c r="H117" t="e">
        <f>#REF!</f>
        <v>#REF!</v>
      </c>
      <c r="M117" s="14"/>
    </row>
    <row r="118" spans="1:13" x14ac:dyDescent="0.25">
      <c r="B118" s="6" t="s">
        <v>84</v>
      </c>
      <c r="H118" t="e">
        <f>#REF!</f>
        <v>#REF!</v>
      </c>
      <c r="M118" s="14"/>
    </row>
    <row r="119" spans="1:13" x14ac:dyDescent="0.25">
      <c r="B119" s="6" t="s">
        <v>85</v>
      </c>
      <c r="H119" t="e">
        <f>#REF!</f>
        <v>#REF!</v>
      </c>
      <c r="M119" s="14"/>
    </row>
    <row r="120" spans="1:13" x14ac:dyDescent="0.25">
      <c r="B120" s="6" t="s">
        <v>86</v>
      </c>
      <c r="H120" t="e">
        <f>#REF!</f>
        <v>#REF!</v>
      </c>
      <c r="M120" s="14"/>
    </row>
    <row r="121" spans="1:13" x14ac:dyDescent="0.25">
      <c r="B121" s="6" t="s">
        <v>87</v>
      </c>
      <c r="H121" t="e">
        <f>#REF!</f>
        <v>#REF!</v>
      </c>
      <c r="M121" s="14"/>
    </row>
    <row r="122" spans="1:13" x14ac:dyDescent="0.25">
      <c r="B122" s="6" t="s">
        <v>88</v>
      </c>
      <c r="H122" t="e">
        <f>#REF!</f>
        <v>#REF!</v>
      </c>
      <c r="M122" s="14"/>
    </row>
    <row r="123" spans="1:13" x14ac:dyDescent="0.25">
      <c r="B123" s="6" t="s">
        <v>189</v>
      </c>
      <c r="F123">
        <f>SUM(F116:F122)</f>
        <v>8000</v>
      </c>
      <c r="H123" t="e">
        <f>#REF!</f>
        <v>#REF!</v>
      </c>
      <c r="I123">
        <f>SUM(I116:I122)</f>
        <v>2400</v>
      </c>
      <c r="J123" t="e">
        <f>I123*H123</f>
        <v>#REF!</v>
      </c>
      <c r="M123" s="14"/>
    </row>
    <row r="124" spans="1:13" x14ac:dyDescent="0.25">
      <c r="M124" s="14"/>
    </row>
    <row r="125" spans="1:13" x14ac:dyDescent="0.25">
      <c r="G125" t="s">
        <v>5</v>
      </c>
      <c r="M125" s="14"/>
    </row>
    <row r="126" spans="1:13" x14ac:dyDescent="0.25">
      <c r="C126" t="s">
        <v>64</v>
      </c>
      <c r="D126" t="s">
        <v>63</v>
      </c>
      <c r="E126" t="s">
        <v>65</v>
      </c>
      <c r="F126" t="s">
        <v>102</v>
      </c>
      <c r="G126" t="e">
        <f>#REF!</f>
        <v>#REF!</v>
      </c>
      <c r="J126" t="s">
        <v>177</v>
      </c>
      <c r="M126" s="14"/>
    </row>
    <row r="127" spans="1:13" x14ac:dyDescent="0.25">
      <c r="B127" s="6" t="s">
        <v>89</v>
      </c>
      <c r="C127">
        <v>1000</v>
      </c>
      <c r="D127">
        <v>2</v>
      </c>
      <c r="E127">
        <v>4</v>
      </c>
      <c r="F127">
        <f>E127*D127*C127</f>
        <v>8000</v>
      </c>
      <c r="G127" t="e">
        <f>#REF!</f>
        <v>#REF!</v>
      </c>
      <c r="J127" t="e">
        <f>G127*F127</f>
        <v>#REF!</v>
      </c>
      <c r="M127" s="14"/>
    </row>
    <row r="128" spans="1:13" x14ac:dyDescent="0.25">
      <c r="B128" s="6" t="s">
        <v>90</v>
      </c>
      <c r="G128" t="e">
        <f>#REF!</f>
        <v>#REF!</v>
      </c>
      <c r="M128" s="14"/>
    </row>
    <row r="129" spans="1:13" x14ac:dyDescent="0.25">
      <c r="B129" s="6" t="s">
        <v>91</v>
      </c>
      <c r="G129" t="e">
        <f>#REF!</f>
        <v>#REF!</v>
      </c>
      <c r="M129" s="14"/>
    </row>
    <row r="130" spans="1:13" x14ac:dyDescent="0.25">
      <c r="M130" s="14"/>
    </row>
    <row r="131" spans="1:13" x14ac:dyDescent="0.25">
      <c r="B131" s="6" t="s">
        <v>98</v>
      </c>
      <c r="C131">
        <v>1000</v>
      </c>
      <c r="D131">
        <v>2</v>
      </c>
      <c r="E131">
        <v>3</v>
      </c>
      <c r="F131">
        <f>E131*D131*C131</f>
        <v>6000</v>
      </c>
      <c r="G131" t="e">
        <f>#REF!</f>
        <v>#REF!</v>
      </c>
      <c r="J131" t="e">
        <f>G131*F131</f>
        <v>#REF!</v>
      </c>
      <c r="M131" s="14"/>
    </row>
    <row r="132" spans="1:13" x14ac:dyDescent="0.25">
      <c r="M132" s="14"/>
    </row>
    <row r="133" spans="1:13" x14ac:dyDescent="0.25">
      <c r="M133" s="14"/>
    </row>
    <row r="134" spans="1:13" x14ac:dyDescent="0.25">
      <c r="M134" s="14"/>
    </row>
    <row r="135" spans="1:13" ht="18.75" x14ac:dyDescent="0.3">
      <c r="A135" s="3" t="s">
        <v>2</v>
      </c>
      <c r="M135" s="14"/>
    </row>
    <row r="136" spans="1:13" x14ac:dyDescent="0.25">
      <c r="M136" s="14"/>
    </row>
    <row r="137" spans="1:13" x14ac:dyDescent="0.25">
      <c r="A137" t="s">
        <v>99</v>
      </c>
      <c r="M137" s="14"/>
    </row>
    <row r="138" spans="1:13" x14ac:dyDescent="0.25">
      <c r="M138" s="14"/>
    </row>
    <row r="139" spans="1:13" x14ac:dyDescent="0.25">
      <c r="M139" s="14"/>
    </row>
    <row r="140" spans="1:13" x14ac:dyDescent="0.25">
      <c r="M140" s="14"/>
    </row>
    <row r="141" spans="1:13" x14ac:dyDescent="0.25">
      <c r="M141" s="14"/>
    </row>
    <row r="142" spans="1:13" x14ac:dyDescent="0.25">
      <c r="M142" s="14"/>
    </row>
    <row r="143" spans="1:13" ht="18.75" x14ac:dyDescent="0.3">
      <c r="A143" s="3" t="s">
        <v>3</v>
      </c>
      <c r="E143" t="s">
        <v>112</v>
      </c>
      <c r="F143" t="s">
        <v>5</v>
      </c>
      <c r="M143" s="14"/>
    </row>
    <row r="144" spans="1:13" x14ac:dyDescent="0.25">
      <c r="B144" t="s">
        <v>30</v>
      </c>
      <c r="C144" t="s">
        <v>28</v>
      </c>
      <c r="D144" t="s">
        <v>93</v>
      </c>
      <c r="E144" t="e">
        <f>#REF!</f>
        <v>#REF!</v>
      </c>
      <c r="F144" t="e">
        <f>#REF!</f>
        <v>#REF!</v>
      </c>
      <c r="J144" t="s">
        <v>7</v>
      </c>
      <c r="M144" s="14"/>
    </row>
    <row r="145" spans="1:13" x14ac:dyDescent="0.25">
      <c r="B145" t="s">
        <v>104</v>
      </c>
      <c r="C145" t="s">
        <v>100</v>
      </c>
      <c r="D145">
        <v>1000</v>
      </c>
      <c r="E145" t="e">
        <f>#REF!</f>
        <v>#REF!</v>
      </c>
      <c r="F145" t="e">
        <f>#REF!</f>
        <v>#REF!</v>
      </c>
      <c r="J145" t="e">
        <f>D145*E145*F145</f>
        <v>#REF!</v>
      </c>
      <c r="M145" s="14" t="s">
        <v>101</v>
      </c>
    </row>
    <row r="146" spans="1:13" x14ac:dyDescent="0.25">
      <c r="B146" t="s">
        <v>105</v>
      </c>
      <c r="C146" t="s">
        <v>100</v>
      </c>
      <c r="D146">
        <v>1000</v>
      </c>
      <c r="E146" t="e">
        <f>#REF!</f>
        <v>#REF!</v>
      </c>
      <c r="F146" t="e">
        <f>#REF!</f>
        <v>#REF!</v>
      </c>
      <c r="J146" t="e">
        <f>D146*E146*F146</f>
        <v>#REF!</v>
      </c>
      <c r="M146" s="14"/>
    </row>
    <row r="147" spans="1:13" ht="18.75" customHeight="1" x14ac:dyDescent="0.25">
      <c r="E147" t="e">
        <f>#REF!</f>
        <v>#REF!</v>
      </c>
      <c r="M147" s="14"/>
    </row>
    <row r="148" spans="1:13" x14ac:dyDescent="0.25">
      <c r="B148" t="s">
        <v>133</v>
      </c>
      <c r="C148" t="s">
        <v>134</v>
      </c>
      <c r="D148">
        <v>1000</v>
      </c>
      <c r="E148" t="e">
        <f>#REF!</f>
        <v>#REF!</v>
      </c>
      <c r="F148" t="e">
        <f>#REF!</f>
        <v>#REF!</v>
      </c>
      <c r="J148" t="e">
        <f>D148*E148*F148</f>
        <v>#REF!</v>
      </c>
      <c r="M148" s="14" t="s">
        <v>135</v>
      </c>
    </row>
    <row r="149" spans="1:13" x14ac:dyDescent="0.25">
      <c r="M149" s="14"/>
    </row>
    <row r="150" spans="1:13" ht="18.75" x14ac:dyDescent="0.3">
      <c r="A150" s="3" t="s">
        <v>4</v>
      </c>
      <c r="M150" s="14"/>
    </row>
    <row r="151" spans="1:13" x14ac:dyDescent="0.25">
      <c r="B151" t="s">
        <v>117</v>
      </c>
      <c r="C151" t="s">
        <v>28</v>
      </c>
      <c r="D151" t="s">
        <v>93</v>
      </c>
      <c r="M151" s="14"/>
    </row>
    <row r="152" spans="1:13" ht="30" x14ac:dyDescent="0.25">
      <c r="B152" t="s">
        <v>118</v>
      </c>
      <c r="C152" t="s">
        <v>38</v>
      </c>
      <c r="D152">
        <v>100</v>
      </c>
      <c r="M152" s="16" t="s">
        <v>190</v>
      </c>
    </row>
    <row r="153" spans="1:13" x14ac:dyDescent="0.25">
      <c r="B153" t="s">
        <v>119</v>
      </c>
      <c r="M153" s="14"/>
    </row>
    <row r="154" spans="1:13" x14ac:dyDescent="0.25">
      <c r="B154" t="s">
        <v>120</v>
      </c>
      <c r="M154" s="14"/>
    </row>
    <row r="155" spans="1:13" x14ac:dyDescent="0.25">
      <c r="B155" t="s">
        <v>121</v>
      </c>
      <c r="M155" s="14"/>
    </row>
    <row r="156" spans="1:13" x14ac:dyDescent="0.25">
      <c r="M156" s="14"/>
    </row>
    <row r="157" spans="1:13" x14ac:dyDescent="0.25">
      <c r="M157" s="14"/>
    </row>
    <row r="158" spans="1:13" x14ac:dyDescent="0.25">
      <c r="M158" s="14"/>
    </row>
    <row r="159" spans="1:13" ht="18.75" x14ac:dyDescent="0.3">
      <c r="A159" s="3" t="s">
        <v>113</v>
      </c>
      <c r="M159" s="14"/>
    </row>
    <row r="160" spans="1:13" x14ac:dyDescent="0.25">
      <c r="B160" t="s">
        <v>115</v>
      </c>
      <c r="C160" t="s">
        <v>114</v>
      </c>
      <c r="D160" t="s">
        <v>116</v>
      </c>
      <c r="E160" t="s">
        <v>5</v>
      </c>
      <c r="J160" t="s">
        <v>7</v>
      </c>
      <c r="M160" s="14"/>
    </row>
    <row r="161" spans="1:13" x14ac:dyDescent="0.25">
      <c r="M161" s="14" t="s">
        <v>111</v>
      </c>
    </row>
    <row r="162" spans="1:13" ht="45" x14ac:dyDescent="0.25">
      <c r="M162" s="14" t="s">
        <v>138</v>
      </c>
    </row>
    <row r="163" spans="1:13" x14ac:dyDescent="0.25">
      <c r="M163" s="14" t="s">
        <v>122</v>
      </c>
    </row>
    <row r="164" spans="1:13" ht="75" x14ac:dyDescent="0.25">
      <c r="M164" s="16" t="s">
        <v>182</v>
      </c>
    </row>
    <row r="165" spans="1:13" x14ac:dyDescent="0.25">
      <c r="M165" s="14"/>
    </row>
    <row r="166" spans="1:13" x14ac:dyDescent="0.25">
      <c r="M166" s="14"/>
    </row>
    <row r="167" spans="1:13" x14ac:dyDescent="0.25">
      <c r="M167" s="14"/>
    </row>
    <row r="168" spans="1:13" x14ac:dyDescent="0.25">
      <c r="M168" s="14"/>
    </row>
    <row r="169" spans="1:13" x14ac:dyDescent="0.25">
      <c r="M169" s="14"/>
    </row>
    <row r="170" spans="1:13" ht="18.75" x14ac:dyDescent="0.3">
      <c r="A170" s="3" t="s">
        <v>110</v>
      </c>
      <c r="M170" s="14"/>
    </row>
    <row r="171" spans="1:13" x14ac:dyDescent="0.25">
      <c r="M171" s="14"/>
    </row>
    <row r="172" spans="1:13" x14ac:dyDescent="0.25">
      <c r="B172" t="s">
        <v>124</v>
      </c>
      <c r="J172" t="s">
        <v>109</v>
      </c>
      <c r="M172" s="14"/>
    </row>
    <row r="173" spans="1:13" x14ac:dyDescent="0.25">
      <c r="A173" t="s">
        <v>14</v>
      </c>
      <c r="B173" t="s">
        <v>125</v>
      </c>
      <c r="C173" t="s">
        <v>126</v>
      </c>
      <c r="D173" t="s">
        <v>127</v>
      </c>
      <c r="E173" t="s">
        <v>128</v>
      </c>
      <c r="F173" t="s">
        <v>129</v>
      </c>
      <c r="G173" t="s">
        <v>130</v>
      </c>
      <c r="H173" t="s">
        <v>131</v>
      </c>
      <c r="I173" t="s">
        <v>132</v>
      </c>
      <c r="J173" t="s">
        <v>106</v>
      </c>
      <c r="K173" t="s">
        <v>107</v>
      </c>
      <c r="M173" s="14"/>
    </row>
    <row r="174" spans="1:13" ht="30" x14ac:dyDescent="0.25">
      <c r="A174">
        <v>2012</v>
      </c>
      <c r="K174" t="e">
        <f>I174/J174</f>
        <v>#DIV/0!</v>
      </c>
      <c r="M174" s="16" t="s">
        <v>191</v>
      </c>
    </row>
    <row r="175" spans="1:13" x14ac:dyDescent="0.25">
      <c r="M175" s="14"/>
    </row>
    <row r="176" spans="1:13" x14ac:dyDescent="0.25">
      <c r="J176" t="s">
        <v>108</v>
      </c>
      <c r="K176" t="e">
        <f>MEDIAN(K174:K174)</f>
        <v>#DIV/0!</v>
      </c>
      <c r="M176" s="14"/>
    </row>
    <row r="177" spans="1:13" ht="18.75" x14ac:dyDescent="0.3">
      <c r="A177" s="3" t="s">
        <v>139</v>
      </c>
      <c r="M177" s="14"/>
    </row>
    <row r="178" spans="1:13" x14ac:dyDescent="0.25">
      <c r="M178" s="14"/>
    </row>
    <row r="179" spans="1:13" x14ac:dyDescent="0.25">
      <c r="B179" t="s">
        <v>140</v>
      </c>
      <c r="M179" s="14"/>
    </row>
    <row r="180" spans="1:13" x14ac:dyDescent="0.25">
      <c r="A180" t="s">
        <v>14</v>
      </c>
      <c r="B180" t="s">
        <v>125</v>
      </c>
      <c r="C180" t="s">
        <v>126</v>
      </c>
      <c r="D180" t="s">
        <v>127</v>
      </c>
      <c r="E180" t="s">
        <v>128</v>
      </c>
      <c r="F180" t="s">
        <v>129</v>
      </c>
      <c r="G180" t="s">
        <v>130</v>
      </c>
      <c r="H180" t="s">
        <v>131</v>
      </c>
      <c r="I180" t="s">
        <v>132</v>
      </c>
      <c r="M180" s="14"/>
    </row>
    <row r="181" spans="1:13" x14ac:dyDescent="0.25">
      <c r="M181" s="14"/>
    </row>
    <row r="182" spans="1:13" x14ac:dyDescent="0.25">
      <c r="M182" s="14"/>
    </row>
    <row r="183" spans="1:13" x14ac:dyDescent="0.25">
      <c r="M183" s="14"/>
    </row>
    <row r="184" spans="1:13" x14ac:dyDescent="0.25">
      <c r="M184" s="14"/>
    </row>
    <row r="185" spans="1:13" x14ac:dyDescent="0.25">
      <c r="M185" s="14"/>
    </row>
    <row r="186" spans="1:13" x14ac:dyDescent="0.25">
      <c r="M186" s="14"/>
    </row>
    <row r="187" spans="1:13" x14ac:dyDescent="0.25">
      <c r="M187" s="14"/>
    </row>
    <row r="188" spans="1:13" x14ac:dyDescent="0.25">
      <c r="M188" s="14"/>
    </row>
    <row r="189" spans="1:13" x14ac:dyDescent="0.25">
      <c r="M189" s="14"/>
    </row>
    <row r="190" spans="1:13" x14ac:dyDescent="0.25">
      <c r="M190" s="14"/>
    </row>
    <row r="191" spans="1:13" x14ac:dyDescent="0.25">
      <c r="M191" s="14"/>
    </row>
    <row r="192" spans="1:13" x14ac:dyDescent="0.25">
      <c r="M192" s="14"/>
    </row>
    <row r="193" spans="13:13" x14ac:dyDescent="0.25">
      <c r="M193" s="14"/>
    </row>
    <row r="194" spans="13:13" x14ac:dyDescent="0.25">
      <c r="M194" s="14"/>
    </row>
    <row r="195" spans="13:13" x14ac:dyDescent="0.25">
      <c r="M195" s="14"/>
    </row>
    <row r="196" spans="13:13" x14ac:dyDescent="0.25">
      <c r="M196" s="14"/>
    </row>
    <row r="197" spans="13:13" x14ac:dyDescent="0.25">
      <c r="M197" s="14"/>
    </row>
    <row r="198" spans="13:13" x14ac:dyDescent="0.25">
      <c r="M198" s="14"/>
    </row>
    <row r="199" spans="13:13" x14ac:dyDescent="0.25">
      <c r="M199" s="14"/>
    </row>
    <row r="200" spans="13:13" x14ac:dyDescent="0.25">
      <c r="M200" s="14"/>
    </row>
    <row r="201" spans="13:13" x14ac:dyDescent="0.25">
      <c r="M201" s="14"/>
    </row>
    <row r="202" spans="13:13" x14ac:dyDescent="0.25">
      <c r="M202" s="14"/>
    </row>
    <row r="203" spans="13:13" x14ac:dyDescent="0.25">
      <c r="M203" s="14"/>
    </row>
    <row r="204" spans="13:13" x14ac:dyDescent="0.25">
      <c r="M204" s="14"/>
    </row>
    <row r="205" spans="13:13" x14ac:dyDescent="0.25">
      <c r="M205" s="14"/>
    </row>
    <row r="206" spans="13:13" x14ac:dyDescent="0.25">
      <c r="M206" s="14"/>
    </row>
    <row r="207" spans="13:13" x14ac:dyDescent="0.25">
      <c r="M207" s="14"/>
    </row>
    <row r="208" spans="13:13" x14ac:dyDescent="0.25">
      <c r="M208" s="14"/>
    </row>
    <row r="209" spans="13:13" x14ac:dyDescent="0.25">
      <c r="M209" s="14"/>
    </row>
    <row r="210" spans="13:13" x14ac:dyDescent="0.25">
      <c r="M210" s="14"/>
    </row>
    <row r="211" spans="13:13" x14ac:dyDescent="0.25">
      <c r="M211" s="14"/>
    </row>
    <row r="212" spans="13:13" x14ac:dyDescent="0.25">
      <c r="M212" s="14"/>
    </row>
    <row r="213" spans="13:13" x14ac:dyDescent="0.25">
      <c r="M213" s="14"/>
    </row>
    <row r="214" spans="13:13" x14ac:dyDescent="0.25">
      <c r="M214" s="14"/>
    </row>
    <row r="215" spans="13:13" x14ac:dyDescent="0.25">
      <c r="M215" s="14"/>
    </row>
    <row r="216" spans="13:13" x14ac:dyDescent="0.25">
      <c r="M216" s="14"/>
    </row>
    <row r="217" spans="13:13" x14ac:dyDescent="0.25">
      <c r="M217" s="14"/>
    </row>
    <row r="218" spans="13:13" x14ac:dyDescent="0.25">
      <c r="M218" s="14"/>
    </row>
    <row r="219" spans="13:13" x14ac:dyDescent="0.25">
      <c r="M219" s="14"/>
    </row>
    <row r="220" spans="13:13" x14ac:dyDescent="0.25">
      <c r="M220" s="14"/>
    </row>
    <row r="221" spans="13:13" x14ac:dyDescent="0.25">
      <c r="M221" s="14"/>
    </row>
    <row r="222" spans="13:13" x14ac:dyDescent="0.25">
      <c r="M222" s="14"/>
    </row>
    <row r="223" spans="13:13" x14ac:dyDescent="0.25">
      <c r="M223" s="14"/>
    </row>
    <row r="224" spans="13:13" x14ac:dyDescent="0.25">
      <c r="M224" s="14"/>
    </row>
    <row r="225" spans="13:13" x14ac:dyDescent="0.25">
      <c r="M225" s="14"/>
    </row>
    <row r="226" spans="13:13" x14ac:dyDescent="0.25">
      <c r="M226" s="14"/>
    </row>
    <row r="227" spans="13:13" x14ac:dyDescent="0.25">
      <c r="M227" s="14"/>
    </row>
    <row r="228" spans="13:13" x14ac:dyDescent="0.25">
      <c r="M228" s="14"/>
    </row>
    <row r="229" spans="13:13" x14ac:dyDescent="0.25">
      <c r="M229" s="14"/>
    </row>
    <row r="230" spans="13:13" x14ac:dyDescent="0.25">
      <c r="M230" s="14"/>
    </row>
    <row r="231" spans="13:13" x14ac:dyDescent="0.25">
      <c r="M231" s="14"/>
    </row>
    <row r="232" spans="13:13" x14ac:dyDescent="0.25">
      <c r="M232" s="14"/>
    </row>
    <row r="233" spans="13:13" x14ac:dyDescent="0.25">
      <c r="M233" s="14"/>
    </row>
    <row r="234" spans="13:13" x14ac:dyDescent="0.25">
      <c r="M234" s="14"/>
    </row>
    <row r="235" spans="13:13" x14ac:dyDescent="0.25">
      <c r="M235" s="14"/>
    </row>
    <row r="236" spans="13:13" x14ac:dyDescent="0.25">
      <c r="M236" s="14"/>
    </row>
    <row r="237" spans="13:13" x14ac:dyDescent="0.25">
      <c r="M237" s="14"/>
    </row>
    <row r="238" spans="13:13" x14ac:dyDescent="0.25">
      <c r="M238" s="14"/>
    </row>
    <row r="239" spans="13:13" x14ac:dyDescent="0.25">
      <c r="M239" s="14"/>
    </row>
    <row r="240" spans="13:13" x14ac:dyDescent="0.25">
      <c r="M240" s="14"/>
    </row>
    <row r="241" spans="13:13" x14ac:dyDescent="0.25">
      <c r="M241" s="14"/>
    </row>
    <row r="242" spans="13:13" x14ac:dyDescent="0.25">
      <c r="M242" s="14"/>
    </row>
    <row r="243" spans="13:13" x14ac:dyDescent="0.25">
      <c r="M243" s="14"/>
    </row>
    <row r="244" spans="13:13" x14ac:dyDescent="0.25">
      <c r="M244" s="14"/>
    </row>
    <row r="245" spans="13:13" x14ac:dyDescent="0.25">
      <c r="M245" s="14"/>
    </row>
    <row r="246" spans="13:13" x14ac:dyDescent="0.25">
      <c r="M246" s="14"/>
    </row>
    <row r="247" spans="13:13" x14ac:dyDescent="0.25">
      <c r="M247" s="14"/>
    </row>
    <row r="248" spans="13:13" x14ac:dyDescent="0.25">
      <c r="M248" s="14"/>
    </row>
    <row r="249" spans="13:13" x14ac:dyDescent="0.25">
      <c r="M249" s="14"/>
    </row>
    <row r="250" spans="13:13" x14ac:dyDescent="0.25">
      <c r="M250" s="14"/>
    </row>
    <row r="251" spans="13:13" x14ac:dyDescent="0.25">
      <c r="M251" s="14"/>
    </row>
    <row r="252" spans="13:13" x14ac:dyDescent="0.25">
      <c r="M252" s="14"/>
    </row>
    <row r="253" spans="13:13" x14ac:dyDescent="0.25">
      <c r="M253" s="14"/>
    </row>
    <row r="254" spans="13:13" x14ac:dyDescent="0.25">
      <c r="M254" s="14"/>
    </row>
    <row r="255" spans="13:13" x14ac:dyDescent="0.25">
      <c r="M255" s="14"/>
    </row>
    <row r="256" spans="13:13" x14ac:dyDescent="0.25">
      <c r="M256" s="14"/>
    </row>
    <row r="257" spans="13:13" x14ac:dyDescent="0.25">
      <c r="M257" s="14"/>
    </row>
    <row r="258" spans="13:13" x14ac:dyDescent="0.25">
      <c r="M258" s="14"/>
    </row>
    <row r="259" spans="13:13" x14ac:dyDescent="0.25">
      <c r="M259" s="14"/>
    </row>
    <row r="260" spans="13:13" x14ac:dyDescent="0.25">
      <c r="M260" s="14"/>
    </row>
    <row r="261" spans="13:13" x14ac:dyDescent="0.25">
      <c r="M261" s="14"/>
    </row>
    <row r="262" spans="13:13" x14ac:dyDescent="0.25">
      <c r="M262" s="14"/>
    </row>
    <row r="263" spans="13:13" x14ac:dyDescent="0.25">
      <c r="M263" s="14"/>
    </row>
    <row r="264" spans="13:13" x14ac:dyDescent="0.25">
      <c r="M264" s="14"/>
    </row>
    <row r="265" spans="13:13" x14ac:dyDescent="0.25">
      <c r="M265" s="14"/>
    </row>
    <row r="266" spans="13:13" x14ac:dyDescent="0.25">
      <c r="M266" s="14"/>
    </row>
    <row r="267" spans="13:13" x14ac:dyDescent="0.25">
      <c r="M267" s="14"/>
    </row>
    <row r="268" spans="13:13" x14ac:dyDescent="0.25">
      <c r="M268" s="14"/>
    </row>
    <row r="269" spans="13:13" x14ac:dyDescent="0.25">
      <c r="M269" s="14"/>
    </row>
    <row r="270" spans="13:13" x14ac:dyDescent="0.25">
      <c r="M270" s="14"/>
    </row>
    <row r="271" spans="13:13" x14ac:dyDescent="0.25">
      <c r="M271" s="14"/>
    </row>
    <row r="272" spans="13:13" x14ac:dyDescent="0.25">
      <c r="M272" s="14"/>
    </row>
    <row r="273" spans="13:13" x14ac:dyDescent="0.25">
      <c r="M273" s="14"/>
    </row>
    <row r="274" spans="13:13" x14ac:dyDescent="0.25">
      <c r="M274" s="14"/>
    </row>
    <row r="275" spans="13:13" x14ac:dyDescent="0.25">
      <c r="M275" s="14"/>
    </row>
    <row r="276" spans="13:13" x14ac:dyDescent="0.25">
      <c r="M276" s="14"/>
    </row>
    <row r="277" spans="13:13" x14ac:dyDescent="0.25">
      <c r="M277" s="14"/>
    </row>
    <row r="278" spans="13:13" x14ac:dyDescent="0.25">
      <c r="M278" s="14"/>
    </row>
    <row r="279" spans="13:13" x14ac:dyDescent="0.25">
      <c r="M279" s="14"/>
    </row>
    <row r="280" spans="13:13" x14ac:dyDescent="0.25">
      <c r="M280" s="14"/>
    </row>
    <row r="281" spans="13:13" x14ac:dyDescent="0.25">
      <c r="M281" s="14"/>
    </row>
    <row r="282" spans="13:13" x14ac:dyDescent="0.25">
      <c r="M282" s="14"/>
    </row>
    <row r="283" spans="13:13" x14ac:dyDescent="0.25">
      <c r="M283" s="14"/>
    </row>
    <row r="284" spans="13:13" x14ac:dyDescent="0.25">
      <c r="M284" s="14"/>
    </row>
    <row r="285" spans="13:13" x14ac:dyDescent="0.25">
      <c r="M285" s="14"/>
    </row>
    <row r="286" spans="13:13" x14ac:dyDescent="0.25">
      <c r="M286" s="14"/>
    </row>
    <row r="287" spans="13:13" x14ac:dyDescent="0.25">
      <c r="M287" s="14"/>
    </row>
    <row r="288" spans="13:13" x14ac:dyDescent="0.25">
      <c r="M288" s="14"/>
    </row>
    <row r="289" spans="13:13" x14ac:dyDescent="0.25">
      <c r="M289" s="14"/>
    </row>
    <row r="290" spans="13:13" x14ac:dyDescent="0.25">
      <c r="M290" s="14"/>
    </row>
    <row r="291" spans="13:13" x14ac:dyDescent="0.25">
      <c r="M291" s="14"/>
    </row>
    <row r="292" spans="13:13" x14ac:dyDescent="0.25">
      <c r="M292" s="14"/>
    </row>
    <row r="293" spans="13:13" x14ac:dyDescent="0.25">
      <c r="M293" s="14"/>
    </row>
    <row r="294" spans="13:13" x14ac:dyDescent="0.25">
      <c r="M294" s="14"/>
    </row>
    <row r="295" spans="13:13" x14ac:dyDescent="0.25">
      <c r="M295" s="14"/>
    </row>
    <row r="296" spans="13:13" x14ac:dyDescent="0.25">
      <c r="M296" s="14"/>
    </row>
    <row r="297" spans="13:13" x14ac:dyDescent="0.25">
      <c r="M297" s="14"/>
    </row>
    <row r="298" spans="13:13" x14ac:dyDescent="0.25">
      <c r="M298" s="14"/>
    </row>
    <row r="299" spans="13:13" x14ac:dyDescent="0.25">
      <c r="M299" s="14"/>
    </row>
    <row r="300" spans="13:13" x14ac:dyDescent="0.25">
      <c r="M300" s="14"/>
    </row>
    <row r="301" spans="13:13" x14ac:dyDescent="0.25">
      <c r="M301" s="14"/>
    </row>
    <row r="302" spans="13:13" x14ac:dyDescent="0.25">
      <c r="M302" s="14"/>
    </row>
    <row r="303" spans="13:13" x14ac:dyDescent="0.25">
      <c r="M303" s="14"/>
    </row>
    <row r="304" spans="13:13" x14ac:dyDescent="0.25">
      <c r="M304" s="14"/>
    </row>
    <row r="305" spans="13:13" x14ac:dyDescent="0.25">
      <c r="M305" s="14"/>
    </row>
    <row r="306" spans="13:13" x14ac:dyDescent="0.25">
      <c r="M306" s="14"/>
    </row>
    <row r="307" spans="13:13" x14ac:dyDescent="0.25">
      <c r="M307" s="14"/>
    </row>
    <row r="308" spans="13:13" x14ac:dyDescent="0.25">
      <c r="M308" s="14"/>
    </row>
    <row r="309" spans="13:13" x14ac:dyDescent="0.25">
      <c r="M309" s="14"/>
    </row>
    <row r="310" spans="13:13" x14ac:dyDescent="0.25">
      <c r="M310" s="14"/>
    </row>
    <row r="311" spans="13:13" x14ac:dyDescent="0.25">
      <c r="M311" s="14"/>
    </row>
    <row r="312" spans="13:13" x14ac:dyDescent="0.25">
      <c r="M312" s="14"/>
    </row>
    <row r="313" spans="13:13" x14ac:dyDescent="0.25">
      <c r="M313" s="14"/>
    </row>
    <row r="314" spans="13:13" x14ac:dyDescent="0.25">
      <c r="M314" s="14"/>
    </row>
    <row r="315" spans="13:13" x14ac:dyDescent="0.25">
      <c r="M315" s="14"/>
    </row>
    <row r="316" spans="13:13" x14ac:dyDescent="0.25">
      <c r="M316" s="14"/>
    </row>
    <row r="317" spans="13:13" x14ac:dyDescent="0.25">
      <c r="M317" s="14"/>
    </row>
    <row r="318" spans="13:13" x14ac:dyDescent="0.25">
      <c r="M318" s="14"/>
    </row>
    <row r="319" spans="13:13" x14ac:dyDescent="0.25">
      <c r="M319" s="14"/>
    </row>
    <row r="320" spans="13:13" x14ac:dyDescent="0.25">
      <c r="M320" s="14"/>
    </row>
    <row r="321" spans="13:13" x14ac:dyDescent="0.25">
      <c r="M321" s="14"/>
    </row>
    <row r="322" spans="13:13" x14ac:dyDescent="0.25">
      <c r="M322" s="14"/>
    </row>
    <row r="323" spans="13:13" x14ac:dyDescent="0.25">
      <c r="M323" s="14"/>
    </row>
    <row r="324" spans="13:13" x14ac:dyDescent="0.25">
      <c r="M324" s="14"/>
    </row>
    <row r="325" spans="13:13" x14ac:dyDescent="0.25">
      <c r="M325" s="14"/>
    </row>
    <row r="326" spans="13:13" x14ac:dyDescent="0.25">
      <c r="M326" s="14"/>
    </row>
    <row r="327" spans="13:13" x14ac:dyDescent="0.25">
      <c r="M327" s="14"/>
    </row>
    <row r="328" spans="13:13" x14ac:dyDescent="0.25">
      <c r="M328" s="14"/>
    </row>
    <row r="329" spans="13:13" x14ac:dyDescent="0.25">
      <c r="M329" s="14"/>
    </row>
    <row r="330" spans="13:13" x14ac:dyDescent="0.25">
      <c r="M330" s="14"/>
    </row>
    <row r="331" spans="13:13" x14ac:dyDescent="0.25">
      <c r="M331" s="14"/>
    </row>
    <row r="332" spans="13:13" x14ac:dyDescent="0.25">
      <c r="M332" s="14"/>
    </row>
    <row r="333" spans="13:13" x14ac:dyDescent="0.25">
      <c r="M333" s="14"/>
    </row>
    <row r="334" spans="13:13" x14ac:dyDescent="0.25">
      <c r="M334" s="14"/>
    </row>
    <row r="335" spans="13:13" x14ac:dyDescent="0.25">
      <c r="M335" s="14"/>
    </row>
    <row r="336" spans="13:13" x14ac:dyDescent="0.25">
      <c r="M336" s="14"/>
    </row>
    <row r="337" spans="13:13" x14ac:dyDescent="0.25">
      <c r="M337" s="14"/>
    </row>
    <row r="338" spans="13:13" x14ac:dyDescent="0.25">
      <c r="M338" s="14"/>
    </row>
    <row r="339" spans="13:13" x14ac:dyDescent="0.25">
      <c r="M339" s="14"/>
    </row>
    <row r="340" spans="13:13" x14ac:dyDescent="0.25">
      <c r="M340" s="14"/>
    </row>
    <row r="341" spans="13:13" x14ac:dyDescent="0.25">
      <c r="M341" s="14"/>
    </row>
    <row r="342" spans="13:13" x14ac:dyDescent="0.25">
      <c r="M342" s="14"/>
    </row>
    <row r="343" spans="13:13" x14ac:dyDescent="0.25">
      <c r="M343" s="14"/>
    </row>
    <row r="344" spans="13:13" x14ac:dyDescent="0.25">
      <c r="M344" s="14"/>
    </row>
    <row r="345" spans="13:13" x14ac:dyDescent="0.25">
      <c r="M345" s="14"/>
    </row>
    <row r="346" spans="13:13" x14ac:dyDescent="0.25">
      <c r="M346" s="14"/>
    </row>
    <row r="347" spans="13:13" x14ac:dyDescent="0.25">
      <c r="M347" s="14"/>
    </row>
    <row r="348" spans="13:13" x14ac:dyDescent="0.25">
      <c r="M348" s="14"/>
    </row>
    <row r="349" spans="13:13" x14ac:dyDescent="0.25">
      <c r="M349" s="14"/>
    </row>
    <row r="350" spans="13:13" x14ac:dyDescent="0.25">
      <c r="M350" s="14"/>
    </row>
    <row r="351" spans="13:13" x14ac:dyDescent="0.25">
      <c r="M351" s="14"/>
    </row>
    <row r="352" spans="13:13" x14ac:dyDescent="0.25">
      <c r="M352" s="14"/>
    </row>
    <row r="353" spans="13:13" x14ac:dyDescent="0.25">
      <c r="M353" s="14"/>
    </row>
    <row r="354" spans="13:13" x14ac:dyDescent="0.25">
      <c r="M354" s="14"/>
    </row>
    <row r="355" spans="13:13" x14ac:dyDescent="0.25">
      <c r="M355" s="14"/>
    </row>
    <row r="356" spans="13:13" x14ac:dyDescent="0.25">
      <c r="M356" s="14"/>
    </row>
    <row r="357" spans="13:13" x14ac:dyDescent="0.25">
      <c r="M357" s="14"/>
    </row>
    <row r="358" spans="13:13" x14ac:dyDescent="0.25">
      <c r="M358" s="14"/>
    </row>
    <row r="359" spans="13:13" x14ac:dyDescent="0.25">
      <c r="M359" s="14"/>
    </row>
    <row r="360" spans="13:13" x14ac:dyDescent="0.25">
      <c r="M360" s="14"/>
    </row>
    <row r="361" spans="13:13" x14ac:dyDescent="0.25">
      <c r="M361" s="14"/>
    </row>
    <row r="362" spans="13:13" x14ac:dyDescent="0.25">
      <c r="M362" s="14"/>
    </row>
    <row r="363" spans="13:13" x14ac:dyDescent="0.25">
      <c r="M363" s="14"/>
    </row>
    <row r="364" spans="13:13" x14ac:dyDescent="0.25">
      <c r="M364" s="14"/>
    </row>
    <row r="365" spans="13:13" x14ac:dyDescent="0.25">
      <c r="M365" s="14"/>
    </row>
    <row r="366" spans="13:13" x14ac:dyDescent="0.25">
      <c r="M366" s="14"/>
    </row>
    <row r="367" spans="13:13" x14ac:dyDescent="0.25">
      <c r="M367" s="14"/>
    </row>
    <row r="368" spans="13:13" x14ac:dyDescent="0.25">
      <c r="M368" s="14"/>
    </row>
    <row r="369" spans="13:13" x14ac:dyDescent="0.25">
      <c r="M369" s="14"/>
    </row>
    <row r="370" spans="13:13" x14ac:dyDescent="0.25">
      <c r="M370" s="14"/>
    </row>
    <row r="371" spans="13:13" x14ac:dyDescent="0.25">
      <c r="M371" s="14"/>
    </row>
    <row r="372" spans="13:13" x14ac:dyDescent="0.25">
      <c r="M372" s="14"/>
    </row>
    <row r="373" spans="13:13" x14ac:dyDescent="0.25">
      <c r="M373" s="14"/>
    </row>
    <row r="374" spans="13:13" x14ac:dyDescent="0.25">
      <c r="M374" s="14"/>
    </row>
    <row r="375" spans="13:13" x14ac:dyDescent="0.25">
      <c r="M375" s="14"/>
    </row>
    <row r="376" spans="13:13" x14ac:dyDescent="0.25">
      <c r="M376" s="14"/>
    </row>
    <row r="377" spans="13:13" x14ac:dyDescent="0.25">
      <c r="M377" s="14"/>
    </row>
    <row r="378" spans="13:13" x14ac:dyDescent="0.25">
      <c r="M378" s="14"/>
    </row>
    <row r="379" spans="13:13" x14ac:dyDescent="0.25">
      <c r="M379" s="14"/>
    </row>
    <row r="380" spans="13:13" x14ac:dyDescent="0.25">
      <c r="M380" s="14"/>
    </row>
    <row r="381" spans="13:13" x14ac:dyDescent="0.25">
      <c r="M381" s="14"/>
    </row>
    <row r="382" spans="13:13" x14ac:dyDescent="0.25">
      <c r="M382" s="14"/>
    </row>
    <row r="383" spans="13:13" x14ac:dyDescent="0.25">
      <c r="M383" s="14"/>
    </row>
    <row r="384" spans="13:13" x14ac:dyDescent="0.25">
      <c r="M384" s="14"/>
    </row>
    <row r="385" spans="13:13" x14ac:dyDescent="0.25">
      <c r="M385" s="14"/>
    </row>
    <row r="386" spans="13:13" x14ac:dyDescent="0.25">
      <c r="M386" s="14"/>
    </row>
    <row r="387" spans="13:13" x14ac:dyDescent="0.25">
      <c r="M387" s="14"/>
    </row>
    <row r="388" spans="13:13" x14ac:dyDescent="0.25">
      <c r="M388" s="14"/>
    </row>
    <row r="389" spans="13:13" x14ac:dyDescent="0.25">
      <c r="M389" s="14"/>
    </row>
    <row r="390" spans="13:13" x14ac:dyDescent="0.25">
      <c r="M390" s="14"/>
    </row>
    <row r="391" spans="13:13" x14ac:dyDescent="0.25">
      <c r="M391" s="14"/>
    </row>
    <row r="392" spans="13:13" x14ac:dyDescent="0.25">
      <c r="M392" s="14"/>
    </row>
    <row r="393" spans="13:13" x14ac:dyDescent="0.25">
      <c r="M393" s="14"/>
    </row>
    <row r="394" spans="13:13" x14ac:dyDescent="0.25">
      <c r="M394" s="14"/>
    </row>
    <row r="395" spans="13:13" x14ac:dyDescent="0.25">
      <c r="M395" s="14"/>
    </row>
    <row r="396" spans="13:13" x14ac:dyDescent="0.25">
      <c r="M396" s="14"/>
    </row>
    <row r="397" spans="13:13" x14ac:dyDescent="0.25">
      <c r="M397" s="14"/>
    </row>
    <row r="398" spans="13:13" x14ac:dyDescent="0.25">
      <c r="M398" s="14"/>
    </row>
    <row r="399" spans="13:13" x14ac:dyDescent="0.25">
      <c r="M399" s="14"/>
    </row>
    <row r="400" spans="13:13" x14ac:dyDescent="0.25">
      <c r="M400" s="14"/>
    </row>
    <row r="401" spans="13:13" x14ac:dyDescent="0.25">
      <c r="M401" s="14"/>
    </row>
    <row r="402" spans="13:13" x14ac:dyDescent="0.25">
      <c r="M402" s="14"/>
    </row>
    <row r="403" spans="13:13" x14ac:dyDescent="0.25">
      <c r="M403" s="14"/>
    </row>
    <row r="404" spans="13:13" x14ac:dyDescent="0.25">
      <c r="M404" s="14"/>
    </row>
    <row r="405" spans="13:13" x14ac:dyDescent="0.25">
      <c r="M405" s="14"/>
    </row>
    <row r="406" spans="13:13" x14ac:dyDescent="0.25">
      <c r="M406" s="14"/>
    </row>
    <row r="407" spans="13:13" x14ac:dyDescent="0.25">
      <c r="M407" s="14"/>
    </row>
    <row r="408" spans="13:13" x14ac:dyDescent="0.25">
      <c r="M408" s="14"/>
    </row>
    <row r="409" spans="13:13" x14ac:dyDescent="0.25">
      <c r="M409" s="14"/>
    </row>
    <row r="410" spans="13:13" x14ac:dyDescent="0.25">
      <c r="M410" s="14"/>
    </row>
    <row r="411" spans="13:13" x14ac:dyDescent="0.25">
      <c r="M411" s="14"/>
    </row>
    <row r="412" spans="13:13" x14ac:dyDescent="0.25">
      <c r="M412" s="14"/>
    </row>
    <row r="413" spans="13:13" x14ac:dyDescent="0.25">
      <c r="M413" s="14"/>
    </row>
    <row r="414" spans="13:13" x14ac:dyDescent="0.25">
      <c r="M414" s="14"/>
    </row>
    <row r="415" spans="13:13" x14ac:dyDescent="0.25">
      <c r="M415" s="14"/>
    </row>
    <row r="416" spans="13:13" x14ac:dyDescent="0.25">
      <c r="M416" s="14"/>
    </row>
    <row r="417" spans="13:13" x14ac:dyDescent="0.25">
      <c r="M417" s="14"/>
    </row>
    <row r="418" spans="13:13" x14ac:dyDescent="0.25">
      <c r="M418" s="14"/>
    </row>
    <row r="419" spans="13:13" x14ac:dyDescent="0.25">
      <c r="M419" s="14"/>
    </row>
    <row r="420" spans="13:13" x14ac:dyDescent="0.25">
      <c r="M420" s="14"/>
    </row>
    <row r="421" spans="13:13" x14ac:dyDescent="0.25">
      <c r="M421" s="14"/>
    </row>
    <row r="422" spans="13:13" x14ac:dyDescent="0.25">
      <c r="M422" s="14"/>
    </row>
    <row r="423" spans="13:13" x14ac:dyDescent="0.25">
      <c r="M423" s="14"/>
    </row>
    <row r="424" spans="13:13" x14ac:dyDescent="0.25">
      <c r="M424" s="14"/>
    </row>
    <row r="425" spans="13:13" x14ac:dyDescent="0.25">
      <c r="M425" s="14"/>
    </row>
    <row r="426" spans="13:13" x14ac:dyDescent="0.25">
      <c r="M426" s="14"/>
    </row>
    <row r="427" spans="13:13" x14ac:dyDescent="0.25">
      <c r="M427" s="14"/>
    </row>
    <row r="428" spans="13:13" x14ac:dyDescent="0.25">
      <c r="M428" s="14"/>
    </row>
    <row r="429" spans="13:13" x14ac:dyDescent="0.25">
      <c r="M429" s="14"/>
    </row>
    <row r="430" spans="13:13" x14ac:dyDescent="0.25">
      <c r="M430" s="14"/>
    </row>
    <row r="431" spans="13:13" x14ac:dyDescent="0.25">
      <c r="M431" s="14"/>
    </row>
    <row r="432" spans="13:13" x14ac:dyDescent="0.25">
      <c r="M432" s="14"/>
    </row>
    <row r="433" spans="13:13" x14ac:dyDescent="0.25">
      <c r="M433" s="14"/>
    </row>
    <row r="434" spans="13:13" x14ac:dyDescent="0.25">
      <c r="M434" s="14"/>
    </row>
    <row r="435" spans="13:13" x14ac:dyDescent="0.25">
      <c r="M435" s="14"/>
    </row>
    <row r="436" spans="13:13" x14ac:dyDescent="0.25">
      <c r="M436" s="14"/>
    </row>
    <row r="437" spans="13:13" x14ac:dyDescent="0.25">
      <c r="M437" s="14"/>
    </row>
    <row r="438" spans="13:13" x14ac:dyDescent="0.25">
      <c r="M438" s="14"/>
    </row>
    <row r="439" spans="13:13" x14ac:dyDescent="0.25">
      <c r="M439" s="14"/>
    </row>
    <row r="440" spans="13:13" x14ac:dyDescent="0.25">
      <c r="M440" s="14"/>
    </row>
    <row r="441" spans="13:13" x14ac:dyDescent="0.25">
      <c r="M441" s="14"/>
    </row>
    <row r="442" spans="13:13" x14ac:dyDescent="0.25">
      <c r="M442" s="14"/>
    </row>
    <row r="443" spans="13:13" x14ac:dyDescent="0.25">
      <c r="M443" s="14"/>
    </row>
    <row r="444" spans="13:13" x14ac:dyDescent="0.25">
      <c r="M444" s="14"/>
    </row>
    <row r="445" spans="13:13" x14ac:dyDescent="0.25">
      <c r="M445" s="14"/>
    </row>
    <row r="446" spans="13:13" x14ac:dyDescent="0.25">
      <c r="M446" s="14"/>
    </row>
    <row r="447" spans="13:13" x14ac:dyDescent="0.25">
      <c r="M447" s="14"/>
    </row>
    <row r="448" spans="13:13" x14ac:dyDescent="0.25">
      <c r="M448" s="14"/>
    </row>
    <row r="449" spans="13:13" x14ac:dyDescent="0.25">
      <c r="M449" s="14"/>
    </row>
    <row r="450" spans="13:13" x14ac:dyDescent="0.25">
      <c r="M450" s="14"/>
    </row>
    <row r="451" spans="13:13" x14ac:dyDescent="0.25">
      <c r="M451" s="14"/>
    </row>
    <row r="452" spans="13:13" x14ac:dyDescent="0.25">
      <c r="M452" s="14"/>
    </row>
    <row r="453" spans="13:13" x14ac:dyDescent="0.25">
      <c r="M453" s="14"/>
    </row>
    <row r="454" spans="13:13" x14ac:dyDescent="0.25">
      <c r="M454" s="14"/>
    </row>
    <row r="455" spans="13:13" x14ac:dyDescent="0.25">
      <c r="M455" s="14"/>
    </row>
    <row r="456" spans="13:13" x14ac:dyDescent="0.25">
      <c r="M456" s="14"/>
    </row>
    <row r="457" spans="13:13" x14ac:dyDescent="0.25">
      <c r="M457" s="14"/>
    </row>
    <row r="458" spans="13:13" x14ac:dyDescent="0.25">
      <c r="M458" s="14"/>
    </row>
    <row r="459" spans="13:13" x14ac:dyDescent="0.25">
      <c r="M459" s="14"/>
    </row>
    <row r="460" spans="13:13" x14ac:dyDescent="0.25">
      <c r="M460" s="14"/>
    </row>
    <row r="461" spans="13:13" x14ac:dyDescent="0.25">
      <c r="M461" s="14"/>
    </row>
    <row r="462" spans="13:13" x14ac:dyDescent="0.25">
      <c r="M462" s="14"/>
    </row>
    <row r="463" spans="13:13" x14ac:dyDescent="0.25">
      <c r="M463" s="14"/>
    </row>
    <row r="464" spans="13:13" x14ac:dyDescent="0.25">
      <c r="M464" s="14"/>
    </row>
    <row r="465" spans="13:13" x14ac:dyDescent="0.25">
      <c r="M465" s="14"/>
    </row>
    <row r="466" spans="13:13" x14ac:dyDescent="0.25">
      <c r="M466" s="14"/>
    </row>
    <row r="467" spans="13:13" x14ac:dyDescent="0.25">
      <c r="M467" s="14"/>
    </row>
    <row r="468" spans="13:13" x14ac:dyDescent="0.25">
      <c r="M468" s="14"/>
    </row>
    <row r="469" spans="13:13" x14ac:dyDescent="0.25">
      <c r="M469" s="14"/>
    </row>
    <row r="470" spans="13:13" x14ac:dyDescent="0.25">
      <c r="M470" s="14"/>
    </row>
    <row r="471" spans="13:13" x14ac:dyDescent="0.25">
      <c r="M471" s="14"/>
    </row>
    <row r="472" spans="13:13" x14ac:dyDescent="0.25">
      <c r="M472" s="14"/>
    </row>
    <row r="473" spans="13:13" x14ac:dyDescent="0.25">
      <c r="M473" s="14"/>
    </row>
    <row r="474" spans="13:13" x14ac:dyDescent="0.25">
      <c r="M474" s="14"/>
    </row>
    <row r="475" spans="13:13" x14ac:dyDescent="0.25">
      <c r="M475" s="14"/>
    </row>
    <row r="476" spans="13:13" x14ac:dyDescent="0.25">
      <c r="M476" s="14"/>
    </row>
    <row r="477" spans="13:13" x14ac:dyDescent="0.25">
      <c r="M477" s="14"/>
    </row>
    <row r="478" spans="13:13" x14ac:dyDescent="0.25">
      <c r="M478" s="14"/>
    </row>
    <row r="479" spans="13:13" x14ac:dyDescent="0.25">
      <c r="M479" s="14"/>
    </row>
    <row r="480" spans="13:13" x14ac:dyDescent="0.25">
      <c r="M480" s="14"/>
    </row>
    <row r="481" spans="13:13" x14ac:dyDescent="0.25">
      <c r="M481" s="14"/>
    </row>
    <row r="482" spans="13:13" x14ac:dyDescent="0.25">
      <c r="M482" s="14"/>
    </row>
    <row r="483" spans="13:13" x14ac:dyDescent="0.25">
      <c r="M483" s="14"/>
    </row>
    <row r="484" spans="13:13" x14ac:dyDescent="0.25">
      <c r="M484" s="14"/>
    </row>
    <row r="485" spans="13:13" x14ac:dyDescent="0.25">
      <c r="M485" s="14"/>
    </row>
    <row r="486" spans="13:13" x14ac:dyDescent="0.25">
      <c r="M486" s="14"/>
    </row>
    <row r="487" spans="13:13" x14ac:dyDescent="0.25">
      <c r="M487" s="14"/>
    </row>
    <row r="488" spans="13:13" x14ac:dyDescent="0.25">
      <c r="M488" s="14"/>
    </row>
    <row r="489" spans="13:13" x14ac:dyDescent="0.25">
      <c r="M489" s="14"/>
    </row>
    <row r="490" spans="13:13" x14ac:dyDescent="0.25">
      <c r="M490" s="14"/>
    </row>
    <row r="491" spans="13:13" x14ac:dyDescent="0.25">
      <c r="M491" s="14"/>
    </row>
    <row r="492" spans="13:13" x14ac:dyDescent="0.25">
      <c r="M492" s="14"/>
    </row>
    <row r="493" spans="13:13" x14ac:dyDescent="0.25">
      <c r="M493" s="14"/>
    </row>
    <row r="494" spans="13:13" x14ac:dyDescent="0.25">
      <c r="M494" s="14"/>
    </row>
    <row r="495" spans="13:13" x14ac:dyDescent="0.25">
      <c r="M495" s="14"/>
    </row>
    <row r="496" spans="13:13" x14ac:dyDescent="0.25">
      <c r="M496" s="14"/>
    </row>
    <row r="497" spans="13:13" x14ac:dyDescent="0.25">
      <c r="M497" s="14"/>
    </row>
    <row r="498" spans="13:13" x14ac:dyDescent="0.25">
      <c r="M498" s="14"/>
    </row>
    <row r="499" spans="13:13" x14ac:dyDescent="0.25">
      <c r="M499" s="14"/>
    </row>
    <row r="500" spans="13:13" x14ac:dyDescent="0.25">
      <c r="M500" s="14"/>
    </row>
    <row r="501" spans="13:13" x14ac:dyDescent="0.25">
      <c r="M501" s="14"/>
    </row>
    <row r="502" spans="13:13" x14ac:dyDescent="0.25">
      <c r="M502" s="14"/>
    </row>
    <row r="503" spans="13:13" x14ac:dyDescent="0.25">
      <c r="M503" s="14"/>
    </row>
    <row r="504" spans="13:13" x14ac:dyDescent="0.25">
      <c r="M504" s="14"/>
    </row>
    <row r="505" spans="13:13" x14ac:dyDescent="0.25">
      <c r="M505" s="14"/>
    </row>
    <row r="506" spans="13:13" x14ac:dyDescent="0.25">
      <c r="M506" s="14"/>
    </row>
    <row r="507" spans="13:13" x14ac:dyDescent="0.25">
      <c r="M507" s="14"/>
    </row>
    <row r="508" spans="13:13" x14ac:dyDescent="0.25">
      <c r="M508" s="14"/>
    </row>
    <row r="509" spans="13:13" x14ac:dyDescent="0.25">
      <c r="M509" s="14"/>
    </row>
    <row r="510" spans="13:13" x14ac:dyDescent="0.25">
      <c r="M510" s="14"/>
    </row>
    <row r="511" spans="13:13" x14ac:dyDescent="0.25">
      <c r="M511" s="14"/>
    </row>
    <row r="512" spans="13:13" x14ac:dyDescent="0.25">
      <c r="M512" s="14"/>
    </row>
    <row r="513" spans="13:13" x14ac:dyDescent="0.25">
      <c r="M513" s="14"/>
    </row>
    <row r="514" spans="13:13" x14ac:dyDescent="0.25">
      <c r="M514" s="14"/>
    </row>
    <row r="515" spans="13:13" x14ac:dyDescent="0.25">
      <c r="M515" s="14"/>
    </row>
    <row r="516" spans="13:13" x14ac:dyDescent="0.25">
      <c r="M516" s="14"/>
    </row>
    <row r="517" spans="13:13" x14ac:dyDescent="0.25">
      <c r="M517" s="14"/>
    </row>
    <row r="518" spans="13:13" x14ac:dyDescent="0.25">
      <c r="M518" s="14"/>
    </row>
    <row r="519" spans="13:13" x14ac:dyDescent="0.25">
      <c r="M519" s="14"/>
    </row>
    <row r="520" spans="13:13" x14ac:dyDescent="0.25">
      <c r="M520" s="14"/>
    </row>
    <row r="521" spans="13:13" x14ac:dyDescent="0.25">
      <c r="M521" s="14"/>
    </row>
    <row r="522" spans="13:13" x14ac:dyDescent="0.25">
      <c r="M522" s="14"/>
    </row>
    <row r="523" spans="13:13" x14ac:dyDescent="0.25">
      <c r="M523" s="14"/>
    </row>
    <row r="524" spans="13:13" x14ac:dyDescent="0.25">
      <c r="M524" s="14"/>
    </row>
    <row r="525" spans="13:13" x14ac:dyDescent="0.25">
      <c r="M525" s="14"/>
    </row>
    <row r="526" spans="13:13" x14ac:dyDescent="0.25">
      <c r="M526" s="14"/>
    </row>
    <row r="527" spans="13:13" x14ac:dyDescent="0.25">
      <c r="M527" s="14"/>
    </row>
    <row r="528" spans="13:13" x14ac:dyDescent="0.25">
      <c r="M528" s="14"/>
    </row>
    <row r="529" spans="13:13" x14ac:dyDescent="0.25">
      <c r="M529" s="14"/>
    </row>
    <row r="530" spans="13:13" x14ac:dyDescent="0.25">
      <c r="M530" s="14"/>
    </row>
    <row r="531" spans="13:13" x14ac:dyDescent="0.25">
      <c r="M531" s="14"/>
    </row>
    <row r="532" spans="13:13" x14ac:dyDescent="0.25">
      <c r="M532" s="14"/>
    </row>
    <row r="533" spans="13:13" x14ac:dyDescent="0.25">
      <c r="M533" s="14"/>
    </row>
    <row r="534" spans="13:13" x14ac:dyDescent="0.25">
      <c r="M534" s="14"/>
    </row>
    <row r="535" spans="13:13" x14ac:dyDescent="0.25">
      <c r="M535" s="14"/>
    </row>
    <row r="536" spans="13:13" x14ac:dyDescent="0.25">
      <c r="M536" s="14"/>
    </row>
    <row r="537" spans="13:13" x14ac:dyDescent="0.25">
      <c r="M537" s="14"/>
    </row>
    <row r="538" spans="13:13" x14ac:dyDescent="0.25">
      <c r="M538" s="14"/>
    </row>
    <row r="539" spans="13:13" x14ac:dyDescent="0.25">
      <c r="M539" s="14"/>
    </row>
    <row r="540" spans="13:13" x14ac:dyDescent="0.25">
      <c r="M540" s="14"/>
    </row>
    <row r="541" spans="13:13" x14ac:dyDescent="0.25">
      <c r="M541" s="14"/>
    </row>
    <row r="542" spans="13:13" x14ac:dyDescent="0.25">
      <c r="M542" s="14"/>
    </row>
    <row r="543" spans="13:13" x14ac:dyDescent="0.25">
      <c r="M543" s="14"/>
    </row>
    <row r="544" spans="13:13" x14ac:dyDescent="0.25">
      <c r="M544" s="14"/>
    </row>
    <row r="545" spans="13:13" x14ac:dyDescent="0.25">
      <c r="M545" s="14"/>
    </row>
    <row r="546" spans="13:13" x14ac:dyDescent="0.25">
      <c r="M546" s="14"/>
    </row>
    <row r="547" spans="13:13" x14ac:dyDescent="0.25">
      <c r="M547" s="14"/>
    </row>
    <row r="548" spans="13:13" x14ac:dyDescent="0.25">
      <c r="M548" s="14"/>
    </row>
    <row r="549" spans="13:13" x14ac:dyDescent="0.25">
      <c r="M549" s="14"/>
    </row>
    <row r="550" spans="13:13" x14ac:dyDescent="0.25">
      <c r="M550" s="14"/>
    </row>
    <row r="551" spans="13:13" x14ac:dyDescent="0.25">
      <c r="M551" s="14"/>
    </row>
    <row r="552" spans="13:13" x14ac:dyDescent="0.25">
      <c r="M552" s="14"/>
    </row>
    <row r="553" spans="13:13" x14ac:dyDescent="0.25">
      <c r="M553" s="14"/>
    </row>
    <row r="554" spans="13:13" x14ac:dyDescent="0.25">
      <c r="M554" s="14"/>
    </row>
    <row r="555" spans="13:13" x14ac:dyDescent="0.25">
      <c r="M555" s="14"/>
    </row>
    <row r="556" spans="13:13" x14ac:dyDescent="0.25">
      <c r="M556" s="14"/>
    </row>
    <row r="557" spans="13:13" x14ac:dyDescent="0.25">
      <c r="M557" s="14"/>
    </row>
    <row r="558" spans="13:13" x14ac:dyDescent="0.25">
      <c r="M558" s="14"/>
    </row>
    <row r="559" spans="13:13" x14ac:dyDescent="0.25">
      <c r="M559" s="14"/>
    </row>
    <row r="560" spans="13:13" x14ac:dyDescent="0.25">
      <c r="M560" s="14"/>
    </row>
    <row r="561" spans="13:13" x14ac:dyDescent="0.25">
      <c r="M561" s="14"/>
    </row>
    <row r="562" spans="13:13" x14ac:dyDescent="0.25">
      <c r="M562" s="14"/>
    </row>
    <row r="563" spans="13:13" x14ac:dyDescent="0.25">
      <c r="M563" s="14"/>
    </row>
    <row r="564" spans="13:13" x14ac:dyDescent="0.25">
      <c r="M564" s="14"/>
    </row>
    <row r="565" spans="13:13" x14ac:dyDescent="0.25">
      <c r="M565" s="14"/>
    </row>
    <row r="566" spans="13:13" x14ac:dyDescent="0.25">
      <c r="M566" s="14"/>
    </row>
    <row r="567" spans="13:13" x14ac:dyDescent="0.25">
      <c r="M567" s="14"/>
    </row>
    <row r="568" spans="13:13" x14ac:dyDescent="0.25">
      <c r="M568" s="14"/>
    </row>
    <row r="569" spans="13:13" x14ac:dyDescent="0.25">
      <c r="M569" s="14"/>
    </row>
    <row r="570" spans="13:13" x14ac:dyDescent="0.25">
      <c r="M570" s="14"/>
    </row>
    <row r="571" spans="13:13" x14ac:dyDescent="0.25">
      <c r="M571" s="14"/>
    </row>
    <row r="572" spans="13:13" x14ac:dyDescent="0.25">
      <c r="M572" s="14"/>
    </row>
    <row r="573" spans="13:13" x14ac:dyDescent="0.25">
      <c r="M573" s="14"/>
    </row>
    <row r="574" spans="13:13" x14ac:dyDescent="0.25">
      <c r="M574" s="14"/>
    </row>
    <row r="575" spans="13:13" x14ac:dyDescent="0.25">
      <c r="M575" s="14"/>
    </row>
    <row r="576" spans="13:13" x14ac:dyDescent="0.25">
      <c r="M576" s="14"/>
    </row>
    <row r="577" spans="13:13" x14ac:dyDescent="0.25">
      <c r="M577" s="14"/>
    </row>
    <row r="578" spans="13:13" x14ac:dyDescent="0.25">
      <c r="M578" s="14"/>
    </row>
    <row r="579" spans="13:13" x14ac:dyDescent="0.25">
      <c r="M579" s="14"/>
    </row>
    <row r="580" spans="13:13" x14ac:dyDescent="0.25">
      <c r="M580" s="14"/>
    </row>
    <row r="581" spans="13:13" x14ac:dyDescent="0.25">
      <c r="M581" s="14"/>
    </row>
    <row r="582" spans="13:13" x14ac:dyDescent="0.25">
      <c r="M582" s="14"/>
    </row>
    <row r="583" spans="13:13" x14ac:dyDescent="0.25">
      <c r="M583" s="14"/>
    </row>
    <row r="584" spans="13:13" x14ac:dyDescent="0.25">
      <c r="M584" s="1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3"/>
  <sheetViews>
    <sheetView showGridLines="0" tabSelected="1" zoomScaleNormal="100" workbookViewId="0"/>
  </sheetViews>
  <sheetFormatPr defaultRowHeight="15" x14ac:dyDescent="0.25"/>
  <cols>
    <col min="1" max="1" width="9.140625" style="13"/>
    <col min="2" max="2" width="30.140625" style="13" bestFit="1" customWidth="1"/>
    <col min="3" max="3" width="15" style="30" customWidth="1"/>
    <col min="4" max="4" width="16.5703125" style="30" bestFit="1" customWidth="1"/>
    <col min="5" max="5" width="13.42578125" style="13" customWidth="1"/>
    <col min="6" max="6" width="19.28515625" style="13" customWidth="1"/>
    <col min="7" max="7" width="16.5703125" style="13" customWidth="1"/>
    <col min="8" max="8" width="12" style="87" customWidth="1"/>
    <col min="9" max="9" width="15.5703125" style="13" customWidth="1"/>
    <col min="10" max="11" width="24.42578125" style="13" bestFit="1" customWidth="1"/>
    <col min="12" max="12" width="23.42578125" style="106" customWidth="1"/>
    <col min="13" max="13" width="12" style="13" bestFit="1" customWidth="1"/>
    <col min="14" max="14" width="36.5703125" style="13" bestFit="1" customWidth="1"/>
    <col min="15" max="15" width="42.42578125" style="13" bestFit="1" customWidth="1"/>
    <col min="16" max="16384" width="9.140625" style="13"/>
  </cols>
  <sheetData>
    <row r="1" spans="1:15" x14ac:dyDescent="0.25">
      <c r="A1" s="13" t="s">
        <v>210</v>
      </c>
      <c r="C1" s="13"/>
      <c r="D1" s="13"/>
    </row>
    <row r="2" spans="1:15" ht="15" customHeight="1" x14ac:dyDescent="0.25">
      <c r="B2" s="18" t="s">
        <v>202</v>
      </c>
      <c r="C2" s="13"/>
      <c r="D2" s="13"/>
      <c r="N2" s="18" t="s">
        <v>204</v>
      </c>
    </row>
    <row r="3" spans="1:15" x14ac:dyDescent="0.25">
      <c r="B3" s="97" t="s">
        <v>255</v>
      </c>
      <c r="C3" s="82" t="s">
        <v>240</v>
      </c>
      <c r="D3" s="82" t="s">
        <v>245</v>
      </c>
      <c r="E3" s="82" t="s">
        <v>202</v>
      </c>
      <c r="F3" s="83" t="s">
        <v>209</v>
      </c>
      <c r="N3" s="103" t="s">
        <v>203</v>
      </c>
      <c r="O3" s="23">
        <v>453.59</v>
      </c>
    </row>
    <row r="4" spans="1:15" x14ac:dyDescent="0.25">
      <c r="B4" s="95" t="s">
        <v>200</v>
      </c>
      <c r="C4" s="25">
        <f>AVERAGE(26,24,23)</f>
        <v>24.333333333333332</v>
      </c>
      <c r="D4" s="25">
        <f>AVERAGE(103.8,112.3,103.3)</f>
        <v>106.46666666666665</v>
      </c>
      <c r="E4" s="25">
        <f>C4*D4</f>
        <v>2590.6888888888884</v>
      </c>
      <c r="F4" s="26">
        <f>C4/C6</f>
        <v>5.0694444444444445E-2</v>
      </c>
      <c r="N4" s="104"/>
      <c r="O4" s="24"/>
    </row>
    <row r="5" spans="1:15" x14ac:dyDescent="0.25">
      <c r="B5" s="95" t="s">
        <v>201</v>
      </c>
      <c r="C5" s="25">
        <f>AVERAGE(467,452,448)</f>
        <v>455.66666666666669</v>
      </c>
      <c r="D5" s="25">
        <f>AVERAGE(76.4,82.1,82.9)</f>
        <v>80.466666666666669</v>
      </c>
      <c r="E5" s="25">
        <f>C5*D5</f>
        <v>36665.977777777778</v>
      </c>
      <c r="F5" s="26">
        <f>C5/C6</f>
        <v>0.94930555555555562</v>
      </c>
      <c r="N5" s="98" t="s">
        <v>251</v>
      </c>
      <c r="O5" s="21" t="s">
        <v>277</v>
      </c>
    </row>
    <row r="6" spans="1:15" x14ac:dyDescent="0.25">
      <c r="B6" s="96" t="s">
        <v>26</v>
      </c>
      <c r="C6" s="27">
        <f>SUM(C4:C5)</f>
        <v>480</v>
      </c>
      <c r="D6" s="27">
        <f>E6/C6</f>
        <v>81.784722222222214</v>
      </c>
      <c r="E6" s="27">
        <f>SUM(E4:E5)</f>
        <v>39256.666666666664</v>
      </c>
      <c r="F6" s="28">
        <f>SUM(F4:F5)</f>
        <v>1</v>
      </c>
      <c r="N6" s="94" t="s">
        <v>248</v>
      </c>
      <c r="O6" s="22">
        <v>0.18</v>
      </c>
    </row>
    <row r="7" spans="1:15" x14ac:dyDescent="0.25">
      <c r="E7" s="30"/>
      <c r="N7" s="95" t="s">
        <v>249</v>
      </c>
      <c r="O7" s="29">
        <v>1.23</v>
      </c>
    </row>
    <row r="8" spans="1:15" x14ac:dyDescent="0.25">
      <c r="B8" s="73" t="s">
        <v>81</v>
      </c>
      <c r="C8" s="13"/>
      <c r="D8" s="13"/>
      <c r="N8" s="96" t="s">
        <v>250</v>
      </c>
      <c r="O8" s="40">
        <v>3.9</v>
      </c>
    </row>
    <row r="9" spans="1:15" x14ac:dyDescent="0.25">
      <c r="B9" s="136" t="s">
        <v>211</v>
      </c>
      <c r="C9" s="132" t="s">
        <v>281</v>
      </c>
      <c r="D9" s="132" t="s">
        <v>241</v>
      </c>
      <c r="E9" s="125" t="s">
        <v>283</v>
      </c>
      <c r="F9" s="130" t="s">
        <v>282</v>
      </c>
      <c r="G9" s="132" t="s">
        <v>241</v>
      </c>
      <c r="H9" s="132" t="s">
        <v>284</v>
      </c>
      <c r="I9" s="130" t="s">
        <v>285</v>
      </c>
      <c r="J9" s="132" t="s">
        <v>288</v>
      </c>
      <c r="K9" s="132" t="s">
        <v>286</v>
      </c>
      <c r="L9" s="125" t="s">
        <v>287</v>
      </c>
      <c r="N9" s="99"/>
      <c r="O9" s="41"/>
    </row>
    <row r="10" spans="1:15" ht="15" customHeight="1" x14ac:dyDescent="0.25">
      <c r="B10" s="137"/>
      <c r="C10" s="139"/>
      <c r="D10" s="139"/>
      <c r="E10" s="126"/>
      <c r="F10" s="140"/>
      <c r="G10" s="139"/>
      <c r="H10" s="139"/>
      <c r="I10" s="140"/>
      <c r="J10" s="139"/>
      <c r="K10" s="139"/>
      <c r="L10" s="126"/>
      <c r="N10" s="97" t="s">
        <v>206</v>
      </c>
      <c r="O10" s="86" t="s">
        <v>278</v>
      </c>
    </row>
    <row r="11" spans="1:15" x14ac:dyDescent="0.25">
      <c r="B11" s="138"/>
      <c r="C11" s="133"/>
      <c r="D11" s="133"/>
      <c r="E11" s="127"/>
      <c r="F11" s="131"/>
      <c r="G11" s="133"/>
      <c r="H11" s="133"/>
      <c r="I11" s="131"/>
      <c r="J11" s="133"/>
      <c r="K11" s="133"/>
      <c r="L11" s="127"/>
      <c r="N11" s="94" t="s">
        <v>32</v>
      </c>
      <c r="O11" s="37">
        <v>128450</v>
      </c>
    </row>
    <row r="12" spans="1:15" x14ac:dyDescent="0.25">
      <c r="B12" s="94" t="s">
        <v>193</v>
      </c>
      <c r="C12" s="36">
        <f>AVERAGE(113.6,112.3,107.7)</f>
        <v>111.19999999999999</v>
      </c>
      <c r="D12" s="36">
        <f>AVERAGE(0.87,0.93,0.87)</f>
        <v>0.89</v>
      </c>
      <c r="E12" s="37">
        <f>C12*D12</f>
        <v>98.967999999999989</v>
      </c>
      <c r="F12" s="72">
        <f>AVERAGE(77.9,78,77.4)</f>
        <v>77.766666666666666</v>
      </c>
      <c r="G12" s="36">
        <f>AVERAGE(0.92,0.92,0.93)</f>
        <v>0.92333333333333334</v>
      </c>
      <c r="H12" s="88">
        <f>F12*G12</f>
        <v>71.804555555555552</v>
      </c>
      <c r="I12" s="118">
        <f>(E12*$F$4)+(H12*$F$5)</f>
        <v>73.181591280864197</v>
      </c>
      <c r="J12" s="112">
        <f>0.14*2*D6</f>
        <v>22.899722222222223</v>
      </c>
      <c r="K12" s="112">
        <f>(I12-J12)/D6</f>
        <v>0.61480760333229556</v>
      </c>
      <c r="L12" s="114">
        <f>K12*$O$3</f>
        <v>278.87058079549593</v>
      </c>
      <c r="N12" s="95" t="s">
        <v>33</v>
      </c>
      <c r="O12" s="31">
        <v>112194</v>
      </c>
    </row>
    <row r="13" spans="1:15" x14ac:dyDescent="0.25">
      <c r="B13" s="95" t="s">
        <v>199</v>
      </c>
      <c r="C13" s="25">
        <f>AVERAGE(32.3,31.5,35)</f>
        <v>32.93333333333333</v>
      </c>
      <c r="D13" s="25">
        <f>AVERAGE(0.76,0.69,0.77)</f>
        <v>0.73999999999999988</v>
      </c>
      <c r="E13" s="31">
        <f>C13*D13</f>
        <v>24.370666666666661</v>
      </c>
      <c r="F13" s="65">
        <f>AVERAGE(29,29.4,29.2)</f>
        <v>29.2</v>
      </c>
      <c r="G13" s="25">
        <f>AVERAGE(0.74,0.75,0.7)</f>
        <v>0.73</v>
      </c>
      <c r="H13" s="89">
        <f>F13*G13</f>
        <v>21.315999999999999</v>
      </c>
      <c r="I13" s="118">
        <f>(E13*$F$4)+(H13*$F$5)</f>
        <v>21.470854629629628</v>
      </c>
      <c r="J13" s="112"/>
      <c r="K13" s="112">
        <f>I13/$D$6</f>
        <v>0.26252891794741162</v>
      </c>
      <c r="L13" s="114">
        <f>K13*$O$3</f>
        <v>119.08049189176643</v>
      </c>
      <c r="N13" s="95" t="s">
        <v>208</v>
      </c>
      <c r="O13" s="31">
        <v>983</v>
      </c>
    </row>
    <row r="14" spans="1:15" x14ac:dyDescent="0.25">
      <c r="B14" s="96" t="s">
        <v>194</v>
      </c>
      <c r="C14" s="27">
        <f>AVERAGE(45,30.7,40)</f>
        <v>38.56666666666667</v>
      </c>
      <c r="D14" s="27">
        <f>AVERAGE(0.07,0.1,0.2)</f>
        <v>0.12333333333333334</v>
      </c>
      <c r="E14" s="32">
        <f>C14*D14</f>
        <v>4.7565555555555559</v>
      </c>
      <c r="F14" s="66">
        <f>AVERAGE(30.8,33.6,31.5)</f>
        <v>31.966666666666669</v>
      </c>
      <c r="G14" s="27">
        <f>AVERAGE(0.11,0.09,0.1)</f>
        <v>0.10000000000000002</v>
      </c>
      <c r="H14" s="90">
        <f>F14*G14</f>
        <v>3.1966666666666677</v>
      </c>
      <c r="I14" s="119">
        <f>(E14*$F$4)+(H14*$F$5)</f>
        <v>3.2757443672839521</v>
      </c>
      <c r="J14" s="113"/>
      <c r="K14" s="113">
        <f>I14/$D$6</f>
        <v>4.0053255403658755E-2</v>
      </c>
      <c r="L14" s="115">
        <f>K14*$O$3</f>
        <v>18.167756118545572</v>
      </c>
      <c r="N14" s="95" t="s">
        <v>31</v>
      </c>
      <c r="O14" s="31">
        <v>3412</v>
      </c>
    </row>
    <row r="15" spans="1:15" x14ac:dyDescent="0.25">
      <c r="N15" s="96" t="s">
        <v>242</v>
      </c>
      <c r="O15" s="32">
        <v>124307</v>
      </c>
    </row>
    <row r="16" spans="1:15" x14ac:dyDescent="0.25">
      <c r="B16" s="18" t="s">
        <v>230</v>
      </c>
      <c r="C16" s="13"/>
      <c r="D16" s="13"/>
      <c r="E16" s="71"/>
      <c r="F16" s="18" t="s">
        <v>207</v>
      </c>
      <c r="N16" s="99"/>
      <c r="O16" s="41"/>
    </row>
    <row r="17" spans="2:18" x14ac:dyDescent="0.25">
      <c r="B17" s="98" t="s">
        <v>205</v>
      </c>
      <c r="C17" s="19" t="s">
        <v>240</v>
      </c>
      <c r="D17" s="21" t="s">
        <v>259</v>
      </c>
      <c r="F17" s="98" t="s">
        <v>206</v>
      </c>
      <c r="G17" s="19" t="s">
        <v>271</v>
      </c>
      <c r="H17" s="80" t="s">
        <v>272</v>
      </c>
      <c r="I17" s="19" t="s">
        <v>273</v>
      </c>
      <c r="J17" s="19" t="s">
        <v>274</v>
      </c>
      <c r="K17" s="21" t="s">
        <v>246</v>
      </c>
      <c r="L17" s="120"/>
      <c r="N17" s="108" t="s">
        <v>214</v>
      </c>
      <c r="O17" s="122" t="s">
        <v>279</v>
      </c>
    </row>
    <row r="18" spans="2:18" x14ac:dyDescent="0.25">
      <c r="B18" s="99"/>
      <c r="C18" s="34"/>
      <c r="D18" s="35"/>
      <c r="F18" s="94" t="s">
        <v>234</v>
      </c>
      <c r="G18" s="36">
        <v>12.39</v>
      </c>
      <c r="H18" s="88">
        <v>19.61</v>
      </c>
      <c r="I18" s="36">
        <v>40.53</v>
      </c>
      <c r="J18" s="36">
        <v>31.55</v>
      </c>
      <c r="K18" s="37">
        <f>AVERAGE(G18:J18)</f>
        <v>26.02</v>
      </c>
      <c r="L18" s="121"/>
      <c r="N18" s="94" t="s">
        <v>215</v>
      </c>
      <c r="O18" s="116">
        <v>2.63</v>
      </c>
    </row>
    <row r="19" spans="2:18" x14ac:dyDescent="0.25">
      <c r="B19" s="98" t="s">
        <v>201</v>
      </c>
      <c r="C19" s="38"/>
      <c r="D19" s="39"/>
      <c r="F19" s="95" t="s">
        <v>235</v>
      </c>
      <c r="G19" s="25">
        <v>427.83</v>
      </c>
      <c r="H19" s="89">
        <v>421.06</v>
      </c>
      <c r="I19" s="25">
        <v>419.13</v>
      </c>
      <c r="J19" s="25">
        <v>381.67</v>
      </c>
      <c r="K19" s="31">
        <f>AVERAGE(G19:J19)</f>
        <v>412.42250000000001</v>
      </c>
      <c r="L19" s="121"/>
      <c r="N19" s="95" t="s">
        <v>216</v>
      </c>
      <c r="O19" s="114">
        <f>O18*14.12</f>
        <v>37.135599999999997</v>
      </c>
    </row>
    <row r="20" spans="2:18" x14ac:dyDescent="0.25">
      <c r="B20" s="94" t="s">
        <v>248</v>
      </c>
      <c r="C20" s="36">
        <f>AVERAGE(0.79,0.78,0.76)*C5</f>
        <v>353.90111111111116</v>
      </c>
      <c r="D20" s="37">
        <f>C20*$O$6</f>
        <v>63.702200000000005</v>
      </c>
      <c r="F20" s="95" t="s">
        <v>236</v>
      </c>
      <c r="G20" s="25">
        <v>792.29</v>
      </c>
      <c r="H20" s="89">
        <v>692.73</v>
      </c>
      <c r="I20" s="25">
        <v>719.04</v>
      </c>
      <c r="J20" s="25">
        <v>672.04</v>
      </c>
      <c r="K20" s="31">
        <f>AVERAGE(G20:J20)</f>
        <v>719.02499999999998</v>
      </c>
      <c r="L20" s="121"/>
      <c r="N20" s="96" t="s">
        <v>217</v>
      </c>
      <c r="O20" s="115">
        <f>O18*0.2026*1000</f>
        <v>532.83800000000008</v>
      </c>
    </row>
    <row r="21" spans="2:18" x14ac:dyDescent="0.25">
      <c r="B21" s="95" t="s">
        <v>249</v>
      </c>
      <c r="C21" s="25">
        <f>AVERAGE(0.08,0.09,0.13)*C5</f>
        <v>45.566666666666663</v>
      </c>
      <c r="D21" s="31">
        <f>C21*$O$7</f>
        <v>56.046999999999997</v>
      </c>
      <c r="F21" s="96" t="s">
        <v>237</v>
      </c>
      <c r="G21" s="27">
        <v>173.17</v>
      </c>
      <c r="H21" s="90">
        <v>172.04</v>
      </c>
      <c r="I21" s="27">
        <v>158.38999999999999</v>
      </c>
      <c r="J21" s="27">
        <v>157.93</v>
      </c>
      <c r="K21" s="32">
        <f>AVERAGE(G21:J21)</f>
        <v>165.38249999999999</v>
      </c>
      <c r="L21" s="121"/>
      <c r="N21" s="99"/>
      <c r="O21" s="117"/>
    </row>
    <row r="22" spans="2:18" x14ac:dyDescent="0.25">
      <c r="B22" s="95" t="s">
        <v>250</v>
      </c>
      <c r="C22" s="25">
        <f>AVERAGE(0.12,0.12,0.09)*C5</f>
        <v>50.123333333333328</v>
      </c>
      <c r="D22" s="31">
        <f>C22*$O$8</f>
        <v>195.48099999999997</v>
      </c>
      <c r="F22" s="102"/>
      <c r="G22" s="42"/>
      <c r="H22" s="91"/>
      <c r="I22" s="42"/>
      <c r="J22" s="42"/>
      <c r="K22" s="42"/>
      <c r="L22" s="120"/>
      <c r="N22" s="98" t="s">
        <v>280</v>
      </c>
      <c r="O22" s="111">
        <f>AVERAGE(1.43,2)</f>
        <v>1.7149999999999999</v>
      </c>
    </row>
    <row r="23" spans="2:18" x14ac:dyDescent="0.25">
      <c r="B23" s="96" t="s">
        <v>256</v>
      </c>
      <c r="C23" s="27"/>
      <c r="D23" s="32">
        <f>SUM(D20:D22)</f>
        <v>315.23019999999997</v>
      </c>
      <c r="F23" s="18" t="s">
        <v>214</v>
      </c>
      <c r="N23" s="109"/>
      <c r="O23" s="109"/>
    </row>
    <row r="24" spans="2:18" x14ac:dyDescent="0.25">
      <c r="B24" s="100"/>
      <c r="C24" s="71"/>
      <c r="D24" s="49"/>
      <c r="F24" s="98" t="s">
        <v>258</v>
      </c>
      <c r="G24" s="43" t="s">
        <v>271</v>
      </c>
      <c r="H24" s="92" t="s">
        <v>272</v>
      </c>
      <c r="I24" s="43" t="s">
        <v>273</v>
      </c>
      <c r="J24" s="43" t="s">
        <v>274</v>
      </c>
      <c r="K24" s="21" t="s">
        <v>246</v>
      </c>
      <c r="L24" s="120"/>
      <c r="N24" s="110" t="s">
        <v>239</v>
      </c>
      <c r="O24" s="109"/>
    </row>
    <row r="25" spans="2:18" ht="15" customHeight="1" x14ac:dyDescent="0.25">
      <c r="B25" s="98" t="s">
        <v>200</v>
      </c>
      <c r="C25" s="38"/>
      <c r="D25" s="39"/>
      <c r="F25" s="95" t="s">
        <v>213</v>
      </c>
      <c r="G25" s="25">
        <v>8.2899999999999991</v>
      </c>
      <c r="H25" s="89">
        <v>9.24</v>
      </c>
      <c r="I25" s="25">
        <v>10.38</v>
      </c>
      <c r="J25" s="25">
        <v>12.29</v>
      </c>
      <c r="K25" s="31">
        <f>AVERAGE(G25:J25)</f>
        <v>10.050000000000001</v>
      </c>
      <c r="L25" s="121"/>
      <c r="N25" s="123" t="s">
        <v>253</v>
      </c>
      <c r="O25" s="124"/>
    </row>
    <row r="26" spans="2:18" ht="15" customHeight="1" x14ac:dyDescent="0.25">
      <c r="B26" s="94" t="s">
        <v>248</v>
      </c>
      <c r="C26" s="36">
        <f>AVERAGE(0.27,0.23,0.31)*C4</f>
        <v>6.57</v>
      </c>
      <c r="D26" s="37">
        <f>C26*$O$6</f>
        <v>1.1826000000000001</v>
      </c>
      <c r="E26" s="30"/>
      <c r="F26" s="96" t="s">
        <v>238</v>
      </c>
      <c r="G26" s="27">
        <v>218.82</v>
      </c>
      <c r="H26" s="90">
        <v>220.92</v>
      </c>
      <c r="I26" s="27">
        <v>228.56</v>
      </c>
      <c r="J26" s="27">
        <v>233.46</v>
      </c>
      <c r="K26" s="32">
        <f>AVERAGE(G26:J26)</f>
        <v>225.44</v>
      </c>
      <c r="L26" s="121"/>
      <c r="N26" s="128" t="s">
        <v>270</v>
      </c>
      <c r="O26" s="129"/>
    </row>
    <row r="27" spans="2:18" ht="15" customHeight="1" x14ac:dyDescent="0.25">
      <c r="B27" s="95" t="s">
        <v>249</v>
      </c>
      <c r="C27" s="25">
        <f>AVERAGE(0.51,0.53,0.5)*C4</f>
        <v>12.49111111111111</v>
      </c>
      <c r="D27" s="31">
        <f>C27*$O$7</f>
        <v>15.364066666666664</v>
      </c>
      <c r="E27" s="30"/>
      <c r="F27" s="100"/>
      <c r="G27" s="42"/>
      <c r="H27" s="91"/>
      <c r="I27" s="42"/>
      <c r="J27" s="42"/>
      <c r="K27" s="41"/>
      <c r="L27" s="120"/>
      <c r="N27" s="128" t="s">
        <v>261</v>
      </c>
      <c r="O27" s="129"/>
    </row>
    <row r="28" spans="2:18" ht="15" customHeight="1" x14ac:dyDescent="0.25">
      <c r="B28" s="95" t="s">
        <v>250</v>
      </c>
      <c r="C28" s="25">
        <f>AVERAGE(0.22,0.23,0.19)*C4</f>
        <v>5.1911111111111108</v>
      </c>
      <c r="D28" s="31">
        <f>C28*$O$8</f>
        <v>20.245333333333331</v>
      </c>
      <c r="E28" s="30"/>
      <c r="F28" s="94" t="s">
        <v>206</v>
      </c>
      <c r="G28" s="20" t="s">
        <v>220</v>
      </c>
      <c r="H28" s="76" t="s">
        <v>10</v>
      </c>
      <c r="I28" s="20" t="s">
        <v>247</v>
      </c>
      <c r="J28" s="20" t="s">
        <v>260</v>
      </c>
      <c r="K28" s="22" t="s">
        <v>212</v>
      </c>
      <c r="L28" s="120"/>
      <c r="N28" s="128" t="s">
        <v>262</v>
      </c>
      <c r="O28" s="129"/>
    </row>
    <row r="29" spans="2:18" ht="15" customHeight="1" x14ac:dyDescent="0.25">
      <c r="B29" s="95" t="s">
        <v>257</v>
      </c>
      <c r="C29" s="25"/>
      <c r="D29" s="31">
        <f>SUM(D26:D28)</f>
        <v>36.791999999999994</v>
      </c>
      <c r="F29" s="94" t="s">
        <v>32</v>
      </c>
      <c r="G29" s="36">
        <f>O18*$K$25*($K$26/150)*$O$22</f>
        <v>68.12800181599998</v>
      </c>
      <c r="H29" s="76" t="s">
        <v>198</v>
      </c>
      <c r="I29" s="44">
        <f>AVERAGE(5.24,5.24,3.92,5.24)/100</f>
        <v>4.9100000000000005E-2</v>
      </c>
      <c r="J29" s="36">
        <f>G29*I29</f>
        <v>3.3450848891655993</v>
      </c>
      <c r="K29" s="37">
        <f>J29*$F$4</f>
        <v>0.16957722007575607</v>
      </c>
      <c r="L29" s="121"/>
      <c r="N29" s="128" t="s">
        <v>263</v>
      </c>
      <c r="O29" s="129"/>
    </row>
    <row r="30" spans="2:18" ht="15" customHeight="1" x14ac:dyDescent="0.25">
      <c r="B30" s="101"/>
      <c r="C30" s="84"/>
      <c r="D30" s="85"/>
      <c r="F30" s="95" t="s">
        <v>31</v>
      </c>
      <c r="G30" s="25">
        <f>O19*$K$25*($K$26/150)*$O$22</f>
        <v>961.96738564191992</v>
      </c>
      <c r="H30" s="77" t="s">
        <v>218</v>
      </c>
      <c r="I30" s="46">
        <f>AVERAGE(46.92,47.84,49.68,51.53)/100</f>
        <v>0.489925</v>
      </c>
      <c r="J30" s="25">
        <f>G30*I30</f>
        <v>471.2918714106176</v>
      </c>
      <c r="K30" s="31">
        <f>J30*$F$4</f>
        <v>23.891879592343809</v>
      </c>
      <c r="L30" s="121"/>
      <c r="N30" s="128" t="s">
        <v>264</v>
      </c>
      <c r="O30" s="129"/>
    </row>
    <row r="31" spans="2:18" ht="15" customHeight="1" x14ac:dyDescent="0.25">
      <c r="B31" s="96" t="s">
        <v>289</v>
      </c>
      <c r="C31" s="27">
        <f>C6</f>
        <v>480</v>
      </c>
      <c r="D31" s="32">
        <f>C31*(1.23+0.51+0.33)</f>
        <v>993.59999999999991</v>
      </c>
      <c r="F31" s="96" t="s">
        <v>208</v>
      </c>
      <c r="G31" s="27">
        <f>O20*$K$25*($K$26/150)*$O$22</f>
        <v>13802.733167921602</v>
      </c>
      <c r="H31" s="78" t="s">
        <v>219</v>
      </c>
      <c r="I31" s="48">
        <f>AVERAGE(47.84,46.92,46.39,43.24)/100</f>
        <v>0.46097500000000002</v>
      </c>
      <c r="J31" s="27">
        <f>G31*I31</f>
        <v>6362.7149220826614</v>
      </c>
      <c r="K31" s="32">
        <f>J31*$F$4</f>
        <v>322.55429813335712</v>
      </c>
      <c r="L31" s="121"/>
      <c r="N31" s="128" t="s">
        <v>265</v>
      </c>
      <c r="O31" s="129"/>
      <c r="R31" s="69"/>
    </row>
    <row r="32" spans="2:18" ht="15" customHeight="1" x14ac:dyDescent="0.25">
      <c r="B32" s="105"/>
      <c r="C32" s="84"/>
      <c r="D32" s="85"/>
      <c r="N32" s="128" t="s">
        <v>266</v>
      </c>
      <c r="O32" s="129"/>
    </row>
    <row r="33" spans="2:15" ht="15" customHeight="1" x14ac:dyDescent="0.25">
      <c r="B33" s="96" t="s">
        <v>26</v>
      </c>
      <c r="C33" s="27"/>
      <c r="D33" s="32">
        <f>SUM(D29,D23,D31)</f>
        <v>1345.6221999999998</v>
      </c>
      <c r="N33" s="128" t="s">
        <v>267</v>
      </c>
      <c r="O33" s="129"/>
    </row>
    <row r="34" spans="2:15" ht="15" customHeight="1" x14ac:dyDescent="0.25">
      <c r="N34" s="128" t="s">
        <v>268</v>
      </c>
      <c r="O34" s="129"/>
    </row>
    <row r="35" spans="2:15" x14ac:dyDescent="0.25">
      <c r="B35" s="70" t="s">
        <v>243</v>
      </c>
      <c r="C35" s="51"/>
      <c r="D35" s="50"/>
      <c r="E35" s="50"/>
      <c r="F35" s="50"/>
      <c r="N35" s="141" t="s">
        <v>269</v>
      </c>
      <c r="O35" s="142"/>
    </row>
    <row r="36" spans="2:15" x14ac:dyDescent="0.25">
      <c r="B36" s="94" t="s">
        <v>254</v>
      </c>
      <c r="C36" s="20" t="s">
        <v>212</v>
      </c>
      <c r="D36" s="20" t="s">
        <v>10</v>
      </c>
      <c r="E36" s="20" t="s">
        <v>197</v>
      </c>
      <c r="F36" s="22" t="s">
        <v>221</v>
      </c>
    </row>
    <row r="37" spans="2:15" x14ac:dyDescent="0.25">
      <c r="B37" s="94" t="s">
        <v>32</v>
      </c>
      <c r="C37" s="52">
        <f>SUM(D33,K20,K29)</f>
        <v>2064.8167772200754</v>
      </c>
      <c r="D37" s="20" t="s">
        <v>198</v>
      </c>
      <c r="E37" s="52">
        <f>C37*O11</f>
        <v>265225715.03391868</v>
      </c>
      <c r="F37" s="53">
        <f>E37/$E$41</f>
        <v>0.92862247404502785</v>
      </c>
    </row>
    <row r="38" spans="2:15" x14ac:dyDescent="0.25">
      <c r="B38" s="95" t="s">
        <v>33</v>
      </c>
      <c r="C38" s="54">
        <f>K21</f>
        <v>165.38249999999999</v>
      </c>
      <c r="D38" s="45" t="s">
        <v>198</v>
      </c>
      <c r="E38" s="54">
        <f>C38*O12</f>
        <v>18554924.204999998</v>
      </c>
      <c r="F38" s="55">
        <f>E38/$E$41</f>
        <v>6.4965494084016431E-2</v>
      </c>
    </row>
    <row r="39" spans="2:15" x14ac:dyDescent="0.25">
      <c r="B39" s="95" t="s">
        <v>208</v>
      </c>
      <c r="C39" s="54">
        <f>SUM(K18,K31)</f>
        <v>348.5742981333571</v>
      </c>
      <c r="D39" s="45" t="s">
        <v>219</v>
      </c>
      <c r="E39" s="54">
        <f>C39*O13</f>
        <v>342648.53506509005</v>
      </c>
      <c r="F39" s="55">
        <f>E39/$E$41</f>
        <v>1.1996993968678949E-3</v>
      </c>
    </row>
    <row r="40" spans="2:15" x14ac:dyDescent="0.25">
      <c r="B40" s="95" t="s">
        <v>31</v>
      </c>
      <c r="C40" s="54">
        <f>SUM(K19,K30)</f>
        <v>436.31437959234381</v>
      </c>
      <c r="D40" s="45" t="s">
        <v>222</v>
      </c>
      <c r="E40" s="54">
        <f>C40*O14</f>
        <v>1488704.6631690771</v>
      </c>
      <c r="F40" s="55">
        <f>E40/$E$41</f>
        <v>5.2123324740877518E-3</v>
      </c>
    </row>
    <row r="41" spans="2:15" x14ac:dyDescent="0.25">
      <c r="B41" s="95" t="s">
        <v>26</v>
      </c>
      <c r="C41" s="56"/>
      <c r="D41" s="56"/>
      <c r="E41" s="54">
        <f>SUM(E37:E40)</f>
        <v>285611992.43715286</v>
      </c>
      <c r="F41" s="57"/>
    </row>
    <row r="42" spans="2:15" x14ac:dyDescent="0.25">
      <c r="B42" s="96" t="s">
        <v>223</v>
      </c>
      <c r="C42" s="58"/>
      <c r="D42" s="58"/>
      <c r="E42" s="59">
        <f>E41/E6</f>
        <v>7275.5029066099914</v>
      </c>
      <c r="F42" s="60"/>
    </row>
    <row r="44" spans="2:15" ht="15" customHeight="1" x14ac:dyDescent="0.25">
      <c r="B44" s="67" t="s">
        <v>37</v>
      </c>
      <c r="C44" s="13"/>
      <c r="D44" s="13"/>
      <c r="K44" s="11"/>
      <c r="L44" s="107"/>
    </row>
    <row r="45" spans="2:15" ht="15" customHeight="1" x14ac:dyDescent="0.25">
      <c r="B45" s="81" t="s">
        <v>226</v>
      </c>
      <c r="C45" s="19" t="s">
        <v>275</v>
      </c>
      <c r="D45" s="19" t="s">
        <v>276</v>
      </c>
      <c r="E45" s="19" t="s">
        <v>10</v>
      </c>
      <c r="F45" s="21" t="s">
        <v>229</v>
      </c>
      <c r="G45" s="11"/>
      <c r="H45" s="93"/>
      <c r="I45" s="61"/>
      <c r="J45" s="11"/>
      <c r="K45" s="11"/>
      <c r="L45" s="107"/>
    </row>
    <row r="46" spans="2:15" ht="15" customHeight="1" x14ac:dyDescent="0.25">
      <c r="B46" s="74" t="s">
        <v>196</v>
      </c>
      <c r="C46" s="46">
        <f>31.2/100</f>
        <v>0.312</v>
      </c>
      <c r="D46" s="62">
        <v>4</v>
      </c>
      <c r="E46" s="45" t="s">
        <v>195</v>
      </c>
      <c r="F46" s="33">
        <f>C46*D46</f>
        <v>1.248</v>
      </c>
    </row>
    <row r="47" spans="2:15" ht="15" customHeight="1" x14ac:dyDescent="0.25">
      <c r="B47" s="74" t="s">
        <v>227</v>
      </c>
      <c r="C47" s="46">
        <f>28.1/100</f>
        <v>0.28100000000000003</v>
      </c>
      <c r="D47" s="62">
        <v>7.62</v>
      </c>
      <c r="E47" s="45" t="s">
        <v>195</v>
      </c>
      <c r="F47" s="33">
        <f>C47*D47</f>
        <v>2.1412200000000001</v>
      </c>
    </row>
    <row r="48" spans="2:15" ht="15" customHeight="1" x14ac:dyDescent="0.25">
      <c r="B48" s="74" t="s">
        <v>224</v>
      </c>
      <c r="C48" s="46">
        <f>23.6/100</f>
        <v>0.23600000000000002</v>
      </c>
      <c r="D48" s="62">
        <v>3</v>
      </c>
      <c r="E48" s="45" t="s">
        <v>195</v>
      </c>
      <c r="F48" s="33">
        <f>C48*D48</f>
        <v>0.70800000000000007</v>
      </c>
    </row>
    <row r="49" spans="2:15" x14ac:dyDescent="0.25">
      <c r="B49" s="74" t="s">
        <v>225</v>
      </c>
      <c r="C49" s="46">
        <f>17.1/100</f>
        <v>0.17100000000000001</v>
      </c>
      <c r="D49" s="62">
        <v>4</v>
      </c>
      <c r="E49" s="45" t="s">
        <v>195</v>
      </c>
      <c r="F49" s="33">
        <f>C49*D49</f>
        <v>0.68400000000000005</v>
      </c>
      <c r="N49" s="135"/>
      <c r="O49" s="135"/>
    </row>
    <row r="50" spans="2:15" x14ac:dyDescent="0.25">
      <c r="B50" s="75" t="s">
        <v>228</v>
      </c>
      <c r="C50" s="48"/>
      <c r="D50" s="47"/>
      <c r="E50" s="47"/>
      <c r="F50" s="63">
        <f>SUM(F46:F49)</f>
        <v>4.7812200000000002</v>
      </c>
      <c r="N50" s="134"/>
      <c r="O50" s="134"/>
    </row>
    <row r="51" spans="2:15" ht="15" customHeight="1" x14ac:dyDescent="0.25"/>
    <row r="52" spans="2:15" ht="15" customHeight="1" x14ac:dyDescent="0.25">
      <c r="B52" s="18" t="s">
        <v>244</v>
      </c>
      <c r="C52" s="64"/>
      <c r="D52" s="13"/>
    </row>
    <row r="53" spans="2:15" x14ac:dyDescent="0.25">
      <c r="B53" s="130" t="s">
        <v>255</v>
      </c>
      <c r="C53" s="132" t="s">
        <v>252</v>
      </c>
      <c r="D53" s="132" t="s">
        <v>231</v>
      </c>
      <c r="E53" s="132" t="s">
        <v>232</v>
      </c>
      <c r="F53" s="125" t="s">
        <v>233</v>
      </c>
    </row>
    <row r="54" spans="2:15" x14ac:dyDescent="0.25">
      <c r="B54" s="131"/>
      <c r="C54" s="133"/>
      <c r="D54" s="133"/>
      <c r="E54" s="133"/>
      <c r="F54" s="127"/>
      <c r="N54" s="67"/>
      <c r="O54" s="68"/>
    </row>
    <row r="55" spans="2:15" x14ac:dyDescent="0.25">
      <c r="B55" s="95" t="s">
        <v>200</v>
      </c>
      <c r="C55" s="25">
        <v>0.7</v>
      </c>
      <c r="D55" s="62">
        <f>C55*$F$50</f>
        <v>3.346854</v>
      </c>
      <c r="E55" s="62">
        <f>D55/D4</f>
        <v>3.1435698184095182E-2</v>
      </c>
      <c r="F55" s="33">
        <f>E55*$O$3</f>
        <v>14.258918339323733</v>
      </c>
      <c r="N55" s="67"/>
      <c r="O55" s="68"/>
    </row>
    <row r="56" spans="2:15" x14ac:dyDescent="0.25">
      <c r="B56" s="95" t="s">
        <v>201</v>
      </c>
      <c r="C56" s="25">
        <v>0.94</v>
      </c>
      <c r="D56" s="62">
        <f>C56*$F$50</f>
        <v>4.4943467999999998</v>
      </c>
      <c r="E56" s="62">
        <f>D56/D5</f>
        <v>5.5853522783761385E-2</v>
      </c>
      <c r="F56" s="33">
        <f>E56*$O$3</f>
        <v>25.334599399486326</v>
      </c>
      <c r="N56" s="67"/>
      <c r="O56" s="68"/>
    </row>
    <row r="57" spans="2:15" x14ac:dyDescent="0.25">
      <c r="B57" s="96" t="s">
        <v>229</v>
      </c>
      <c r="C57" s="47"/>
      <c r="D57" s="47"/>
      <c r="E57" s="47"/>
      <c r="F57" s="63">
        <f>(F55*F4)+(F56*F5)</f>
        <v>24.773123901297531</v>
      </c>
      <c r="N57" s="67"/>
      <c r="O57" s="68"/>
    </row>
    <row r="58" spans="2:15" x14ac:dyDescent="0.25">
      <c r="B58" s="68"/>
      <c r="C58" s="71"/>
      <c r="D58" s="71"/>
      <c r="N58" s="67"/>
      <c r="O58" s="68"/>
    </row>
    <row r="59" spans="2:15" ht="15" customHeight="1" x14ac:dyDescent="0.25">
      <c r="B59" s="68"/>
      <c r="C59" s="79"/>
      <c r="D59" s="71"/>
      <c r="N59" s="67"/>
      <c r="O59" s="68"/>
    </row>
    <row r="60" spans="2:15" ht="15" customHeight="1" x14ac:dyDescent="0.25">
      <c r="B60" s="68"/>
      <c r="C60" s="79"/>
      <c r="D60" s="71"/>
      <c r="N60" s="67"/>
      <c r="O60" s="68"/>
    </row>
    <row r="61" spans="2:15" x14ac:dyDescent="0.25">
      <c r="B61" s="68"/>
      <c r="C61" s="79"/>
      <c r="D61" s="71"/>
      <c r="N61" s="67"/>
      <c r="O61" s="68"/>
    </row>
    <row r="62" spans="2:15" x14ac:dyDescent="0.25">
      <c r="B62" s="68"/>
      <c r="C62" s="71"/>
      <c r="D62" s="71"/>
      <c r="N62" s="67"/>
      <c r="O62" s="68"/>
    </row>
    <row r="63" spans="2:15" x14ac:dyDescent="0.25">
      <c r="N63" s="67"/>
      <c r="O63" s="68"/>
    </row>
  </sheetData>
  <mergeCells count="29">
    <mergeCell ref="N50:O50"/>
    <mergeCell ref="N49:O49"/>
    <mergeCell ref="B9:B11"/>
    <mergeCell ref="C9:C11"/>
    <mergeCell ref="D9:D11"/>
    <mergeCell ref="E9:E11"/>
    <mergeCell ref="F9:F11"/>
    <mergeCell ref="G9:G11"/>
    <mergeCell ref="H9:H11"/>
    <mergeCell ref="I9:I11"/>
    <mergeCell ref="J9:J11"/>
    <mergeCell ref="K9:K11"/>
    <mergeCell ref="N26:O26"/>
    <mergeCell ref="N35:O35"/>
    <mergeCell ref="N34:O34"/>
    <mergeCell ref="N29:O29"/>
    <mergeCell ref="B53:B54"/>
    <mergeCell ref="C53:C54"/>
    <mergeCell ref="D53:D54"/>
    <mergeCell ref="E53:E54"/>
    <mergeCell ref="F53:F54"/>
    <mergeCell ref="N25:O25"/>
    <mergeCell ref="L9:L11"/>
    <mergeCell ref="N27:O27"/>
    <mergeCell ref="N33:O33"/>
    <mergeCell ref="N32:O32"/>
    <mergeCell ref="N31:O31"/>
    <mergeCell ref="N30:O30"/>
    <mergeCell ref="N28:O28"/>
  </mergeCells>
  <printOptions horizontalCentered="1" verticalCentered="1"/>
  <pageMargins left="0.7" right="0.7" top="0.75" bottom="0.75" header="0.3" footer="0.3"/>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x>
  <Cntr/>
</Prx>
</file>

<file path=customXml/itemProps1.xml><?xml version="1.0" encoding="utf-8"?>
<ds:datastoreItem xmlns:ds="http://schemas.openxmlformats.org/officeDocument/2006/customXml" ds:itemID="{87CFD9D0-138D-4C71-A7D1-3930F7C18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Scope &amp;Bounderies</vt:lpstr>
      <vt:lpstr>data quality scoring</vt:lpstr>
      <vt:lpstr>Calculations old</vt:lpstr>
      <vt:lpstr>SMRP</vt:lpstr>
    </vt:vector>
  </TitlesOfParts>
  <Company>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Henk-Jan_Olthuis</dc:creator>
  <cp:lastModifiedBy>John Duff</cp:lastModifiedBy>
  <cp:lastPrinted>2020-05-19T19:17:07Z</cp:lastPrinted>
  <dcterms:created xsi:type="dcterms:W3CDTF">2012-05-10T13:03:17Z</dcterms:created>
  <dcterms:modified xsi:type="dcterms:W3CDTF">2020-12-17T15:28:57Z</dcterms:modified>
</cp:coreProperties>
</file>